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Lineups!$W$1:$AR$84</definedName>
    <definedName name="_xlnm.Print_Area" localSheetId="15">'NOTT Score'!$AR$71:$CA$140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D45"/>
  <c r="W45"/>
  <c r="D44"/>
  <c r="C44"/>
  <c r="U45"/>
  <c r="K45"/>
  <c r="P45"/>
  <c r="H45"/>
  <c r="D47"/>
  <c r="C47"/>
  <c r="D25"/>
  <c r="AE25"/>
  <c r="D21"/>
  <c r="C21"/>
  <c r="D23"/>
  <c r="V23"/>
  <c r="D22"/>
  <c r="W22"/>
  <c r="O43"/>
  <c r="J45"/>
  <c r="M45"/>
  <c r="E24"/>
  <c r="AF24"/>
  <c r="O46"/>
  <c r="L45"/>
  <c r="AD45"/>
  <c r="T45"/>
  <c r="N45"/>
  <c r="BT45"/>
  <c r="E44"/>
  <c r="E25"/>
  <c r="D24"/>
  <c r="E21"/>
  <c r="AF21"/>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5"/>
  <c r="AH44"/>
  <c r="F47"/>
  <c r="AH47"/>
  <c r="F43"/>
  <c r="AH43"/>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3"/>
  <c r="H46"/>
  <c r="L43"/>
  <c r="L46"/>
  <c r="U46"/>
  <c r="K44"/>
  <c r="P44"/>
  <c r="BT21"/>
  <c r="P21"/>
  <c r="W47"/>
  <c r="AE47"/>
  <c r="K43"/>
  <c r="P43"/>
  <c r="AD43"/>
  <c r="T43"/>
  <c r="J43"/>
  <c r="J46"/>
  <c r="M46"/>
  <c r="N46"/>
  <c r="K46"/>
  <c r="P46"/>
  <c r="AD46"/>
  <c r="I25"/>
  <c r="I23"/>
  <c r="I24"/>
  <c r="I22"/>
  <c r="I21"/>
  <c r="I47"/>
  <c r="I46"/>
  <c r="I44"/>
  <c r="I45"/>
  <c r="I43"/>
  <c r="B5"/>
  <c r="AK5"/>
  <c r="B27"/>
  <c r="AK27"/>
  <c r="C6"/>
  <c r="N6"/>
  <c r="AD6"/>
  <c r="C7"/>
  <c r="N7"/>
  <c r="AD7"/>
  <c r="T7"/>
  <c r="U7"/>
  <c r="H7"/>
  <c r="BT7"/>
  <c r="M7"/>
  <c r="L7"/>
  <c r="O7"/>
  <c r="J7"/>
  <c r="K7"/>
  <c r="P7"/>
  <c r="C8"/>
  <c r="N8"/>
  <c r="AD8"/>
  <c r="T8"/>
  <c r="U8"/>
  <c r="H8"/>
  <c r="BT8"/>
  <c r="M8"/>
  <c r="L8"/>
  <c r="O8"/>
  <c r="J8"/>
  <c r="K8"/>
  <c r="P8"/>
  <c r="C9"/>
  <c r="N9"/>
  <c r="AD9"/>
  <c r="T9"/>
  <c r="U9"/>
  <c r="H9"/>
  <c r="BT9"/>
  <c r="M9"/>
  <c r="L9"/>
  <c r="O9"/>
  <c r="J9"/>
  <c r="K9"/>
  <c r="P9"/>
  <c r="C10"/>
  <c r="N10"/>
  <c r="AD10"/>
  <c r="T10"/>
  <c r="U10"/>
  <c r="H10"/>
  <c r="BT10"/>
  <c r="M10"/>
  <c r="L10"/>
  <c r="O10"/>
  <c r="J10"/>
  <c r="K10"/>
  <c r="P10"/>
  <c r="C11"/>
  <c r="N11"/>
  <c r="AD11"/>
  <c r="T11"/>
  <c r="U11"/>
  <c r="H11"/>
  <c r="BT11"/>
  <c r="M11"/>
  <c r="L11"/>
  <c r="O11"/>
  <c r="J11"/>
  <c r="K11"/>
  <c r="P11"/>
  <c r="C13"/>
  <c r="AD13"/>
  <c r="N13"/>
  <c r="T13"/>
  <c r="U13"/>
  <c r="H13"/>
  <c r="BT13"/>
  <c r="M13"/>
  <c r="L13"/>
  <c r="O13"/>
  <c r="J13"/>
  <c r="K13"/>
  <c r="P13"/>
  <c r="C16"/>
  <c r="AD16"/>
  <c r="N16"/>
  <c r="T16"/>
  <c r="U16"/>
  <c r="H16"/>
  <c r="BT16"/>
  <c r="M16"/>
  <c r="L16"/>
  <c r="O16"/>
  <c r="J16"/>
  <c r="K16"/>
  <c r="P16"/>
  <c r="C19"/>
  <c r="AD19"/>
  <c r="N19"/>
  <c r="T19"/>
  <c r="U19"/>
  <c r="H19"/>
  <c r="BT19"/>
  <c r="M19"/>
  <c r="L19"/>
  <c r="O19"/>
  <c r="J19"/>
  <c r="K19"/>
  <c r="P19"/>
  <c r="C20"/>
  <c r="AD20"/>
  <c r="N20"/>
  <c r="K20"/>
  <c r="T20"/>
  <c r="U20"/>
  <c r="H20"/>
  <c r="BT20"/>
  <c r="M20"/>
  <c r="L20"/>
  <c r="O20"/>
  <c r="J20"/>
  <c r="P20"/>
  <c r="G21"/>
  <c r="G22"/>
  <c r="G23"/>
  <c r="G24"/>
  <c r="G25"/>
  <c r="G43"/>
  <c r="G44"/>
  <c r="G45"/>
  <c r="G46"/>
  <c r="G47"/>
  <c r="D7"/>
  <c r="V7"/>
  <c r="D8"/>
  <c r="V8"/>
  <c r="D9"/>
  <c r="V9"/>
  <c r="W7"/>
  <c r="W8"/>
  <c r="W9"/>
  <c r="D20"/>
  <c r="V20"/>
  <c r="D6"/>
  <c r="D10"/>
  <c r="D11"/>
  <c r="D12"/>
  <c r="D13"/>
  <c r="D14"/>
  <c r="D15"/>
  <c r="D16"/>
  <c r="D17"/>
  <c r="D18"/>
  <c r="D19"/>
  <c r="D26"/>
  <c r="W20"/>
  <c r="AE20"/>
  <c r="V19"/>
  <c r="W19"/>
  <c r="AE19"/>
  <c r="V18"/>
  <c r="W18"/>
  <c r="AE18"/>
  <c r="V17"/>
  <c r="W17"/>
  <c r="AE17"/>
  <c r="V13"/>
  <c r="W13"/>
  <c r="AE13"/>
  <c r="V12"/>
  <c r="W12"/>
  <c r="AE12"/>
  <c r="AE9"/>
  <c r="AE8"/>
  <c r="AE7"/>
  <c r="AE6"/>
  <c r="V10"/>
  <c r="W10"/>
  <c r="AE10"/>
  <c r="E15"/>
  <c r="AF15"/>
  <c r="Y15"/>
  <c r="X15"/>
  <c r="E16"/>
  <c r="AF16"/>
  <c r="Y16"/>
  <c r="X16"/>
  <c r="E19"/>
  <c r="AF19"/>
  <c r="Y19"/>
  <c r="X19"/>
  <c r="E6"/>
  <c r="E7"/>
  <c r="E8"/>
  <c r="E9"/>
  <c r="E10"/>
  <c r="E11"/>
  <c r="E12"/>
  <c r="E13"/>
  <c r="E14"/>
  <c r="E17"/>
  <c r="E18"/>
  <c r="E20"/>
  <c r="E26"/>
  <c r="C12"/>
  <c r="F12"/>
  <c r="BP12"/>
  <c r="BQ12"/>
  <c r="BR12"/>
  <c r="BS12"/>
  <c r="C14"/>
  <c r="F14"/>
  <c r="BP14"/>
  <c r="BQ14"/>
  <c r="BR14"/>
  <c r="BS14"/>
  <c r="BO14"/>
  <c r="BT14"/>
  <c r="C15"/>
  <c r="F15"/>
  <c r="BP15"/>
  <c r="BQ15"/>
  <c r="BR15"/>
  <c r="BS15"/>
  <c r="BO15"/>
  <c r="BT15"/>
  <c r="C17"/>
  <c r="F17"/>
  <c r="BP17"/>
  <c r="BQ17"/>
  <c r="BR17"/>
  <c r="BS17"/>
  <c r="BO17"/>
  <c r="BT17"/>
  <c r="C18"/>
  <c r="F18"/>
  <c r="BP18"/>
  <c r="BQ18"/>
  <c r="BR18"/>
  <c r="BS18"/>
  <c r="BO18"/>
  <c r="BT18"/>
  <c r="BO12"/>
  <c r="BT12"/>
  <c r="BT6"/>
  <c r="BT26"/>
  <c r="F6"/>
  <c r="AR6"/>
  <c r="AS6"/>
  <c r="AT6"/>
  <c r="AU6"/>
  <c r="AV6"/>
  <c r="AW6"/>
  <c r="BB6"/>
  <c r="BG6"/>
  <c r="BH6"/>
  <c r="BM6"/>
  <c r="AL6"/>
  <c r="AM6"/>
  <c r="AN6"/>
  <c r="AO6"/>
  <c r="AP6"/>
  <c r="AQ6"/>
  <c r="AZ6"/>
  <c r="AX6"/>
  <c r="BD6"/>
  <c r="BL6"/>
  <c r="BF6"/>
  <c r="BJ6"/>
  <c r="BN6"/>
  <c r="F7"/>
  <c r="AT7"/>
  <c r="AU7"/>
  <c r="BH7"/>
  <c r="BG7"/>
  <c r="BL7"/>
  <c r="AR7"/>
  <c r="AS7"/>
  <c r="BF7"/>
  <c r="BJ7"/>
  <c r="BN7"/>
  <c r="BM7"/>
  <c r="AV7"/>
  <c r="AW7"/>
  <c r="BB7"/>
  <c r="AL7"/>
  <c r="AM7"/>
  <c r="AN7"/>
  <c r="AO7"/>
  <c r="AP7"/>
  <c r="AQ7"/>
  <c r="AZ7"/>
  <c r="AX7"/>
  <c r="BD7"/>
  <c r="F10"/>
  <c r="AL10"/>
  <c r="AM10"/>
  <c r="AN10"/>
  <c r="AO10"/>
  <c r="AP10"/>
  <c r="AQ10"/>
  <c r="AR10"/>
  <c r="AS10"/>
  <c r="AT10"/>
  <c r="AU10"/>
  <c r="AV10"/>
  <c r="AW10"/>
  <c r="AX10"/>
  <c r="BD10"/>
  <c r="BB10"/>
  <c r="BH10"/>
  <c r="BG10"/>
  <c r="BL10"/>
  <c r="BM10"/>
  <c r="AZ10"/>
  <c r="BF10"/>
  <c r="BJ10"/>
  <c r="BN10"/>
  <c r="F13"/>
  <c r="AT13"/>
  <c r="AU13"/>
  <c r="BG13"/>
  <c r="BH13"/>
  <c r="BM13"/>
  <c r="AR13"/>
  <c r="AS13"/>
  <c r="AV13"/>
  <c r="AW13"/>
  <c r="BB13"/>
  <c r="BL13"/>
  <c r="AL13"/>
  <c r="AM13"/>
  <c r="AN13"/>
  <c r="AO13"/>
  <c r="AP13"/>
  <c r="AQ13"/>
  <c r="AX13"/>
  <c r="BD13"/>
  <c r="AZ13"/>
  <c r="BF13"/>
  <c r="BJ13"/>
  <c r="BN13"/>
  <c r="AT14"/>
  <c r="AU14"/>
  <c r="BG14"/>
  <c r="BH14"/>
  <c r="BM14"/>
  <c r="AL14"/>
  <c r="AM14"/>
  <c r="AN14"/>
  <c r="AO14"/>
  <c r="AP14"/>
  <c r="AQ14"/>
  <c r="AZ14"/>
  <c r="AR14"/>
  <c r="AS14"/>
  <c r="AV14"/>
  <c r="AW14"/>
  <c r="AX14"/>
  <c r="BD14"/>
  <c r="BL14"/>
  <c r="BB14"/>
  <c r="BF14"/>
  <c r="BJ14"/>
  <c r="BN14"/>
  <c r="AL15"/>
  <c r="AM15"/>
  <c r="AN15"/>
  <c r="AO15"/>
  <c r="AP15"/>
  <c r="AQ15"/>
  <c r="AZ15"/>
  <c r="AT15"/>
  <c r="AU15"/>
  <c r="BH15"/>
  <c r="BG15"/>
  <c r="BL15"/>
  <c r="BM15"/>
  <c r="AR15"/>
  <c r="AS15"/>
  <c r="AV15"/>
  <c r="AW15"/>
  <c r="AX15"/>
  <c r="BD15"/>
  <c r="BB15"/>
  <c r="BF15"/>
  <c r="BJ15"/>
  <c r="BN15"/>
  <c r="F16"/>
  <c r="AT16"/>
  <c r="AU16"/>
  <c r="BG16"/>
  <c r="BH16"/>
  <c r="BM16"/>
  <c r="BL16"/>
  <c r="AL16"/>
  <c r="AM16"/>
  <c r="AN16"/>
  <c r="AO16"/>
  <c r="AP16"/>
  <c r="AQ16"/>
  <c r="AR16"/>
  <c r="AS16"/>
  <c r="AV16"/>
  <c r="AW16"/>
  <c r="AX16"/>
  <c r="BD16"/>
  <c r="BB16"/>
  <c r="AZ16"/>
  <c r="BF16"/>
  <c r="BJ16"/>
  <c r="BN16"/>
  <c r="AR17"/>
  <c r="AS17"/>
  <c r="AT17"/>
  <c r="AU17"/>
  <c r="AV17"/>
  <c r="AW17"/>
  <c r="BB17"/>
  <c r="AL17"/>
  <c r="AM17"/>
  <c r="AN17"/>
  <c r="AO17"/>
  <c r="AP17"/>
  <c r="AQ17"/>
  <c r="AX17"/>
  <c r="BD17"/>
  <c r="BG17"/>
  <c r="BH17"/>
  <c r="BM17"/>
  <c r="AZ17"/>
  <c r="BL17"/>
  <c r="BF17"/>
  <c r="BJ17"/>
  <c r="BN17"/>
  <c r="AR18"/>
  <c r="AS18"/>
  <c r="BF18"/>
  <c r="BJ18"/>
  <c r="BN18"/>
  <c r="AL18"/>
  <c r="AM18"/>
  <c r="AN18"/>
  <c r="AO18"/>
  <c r="AP18"/>
  <c r="AQ18"/>
  <c r="AZ18"/>
  <c r="AT18"/>
  <c r="AU18"/>
  <c r="BG18"/>
  <c r="BH18"/>
  <c r="BM18"/>
  <c r="BL18"/>
  <c r="AV18"/>
  <c r="AW18"/>
  <c r="AX18"/>
  <c r="BD18"/>
  <c r="BB18"/>
  <c r="F19"/>
  <c r="BB19"/>
  <c r="BL19"/>
  <c r="BD19"/>
  <c r="AZ19"/>
  <c r="BM19"/>
  <c r="AR19"/>
  <c r="AS19"/>
  <c r="BF19"/>
  <c r="BJ19"/>
  <c r="BN19"/>
  <c r="S19"/>
  <c r="Q19"/>
  <c r="R19"/>
  <c r="F20"/>
  <c r="AL20"/>
  <c r="AM20"/>
  <c r="AN20"/>
  <c r="AO20"/>
  <c r="AP20"/>
  <c r="AQ20"/>
  <c r="AR20"/>
  <c r="AS20"/>
  <c r="AT20"/>
  <c r="AU20"/>
  <c r="AV20"/>
  <c r="AW20"/>
  <c r="AX20"/>
  <c r="BD20"/>
  <c r="BH20"/>
  <c r="BG20"/>
  <c r="BL20"/>
  <c r="BB20"/>
  <c r="AZ20"/>
  <c r="BM20"/>
  <c r="BF20"/>
  <c r="BJ20"/>
  <c r="BN20"/>
  <c r="BI7"/>
  <c r="BK7"/>
  <c r="F8"/>
  <c r="BF8"/>
  <c r="BG8"/>
  <c r="BH8"/>
  <c r="BI8"/>
  <c r="BJ8"/>
  <c r="BK8"/>
  <c r="F9"/>
  <c r="BF9"/>
  <c r="BG9"/>
  <c r="BH9"/>
  <c r="BI9"/>
  <c r="BJ9"/>
  <c r="BK9"/>
  <c r="BI10"/>
  <c r="BK10"/>
  <c r="F11"/>
  <c r="BF11"/>
  <c r="BG11"/>
  <c r="BH11"/>
  <c r="BI11"/>
  <c r="BJ11"/>
  <c r="BK11"/>
  <c r="BF12"/>
  <c r="BG12"/>
  <c r="BH12"/>
  <c r="BI12"/>
  <c r="BJ12"/>
  <c r="BK12"/>
  <c r="BI13"/>
  <c r="BK13"/>
  <c r="BI14"/>
  <c r="BK14"/>
  <c r="BI15"/>
  <c r="BK15"/>
  <c r="BI16"/>
  <c r="BK16"/>
  <c r="BI17"/>
  <c r="BK17"/>
  <c r="BI18"/>
  <c r="BK18"/>
  <c r="BK19"/>
  <c r="BI20"/>
  <c r="BK20"/>
  <c r="BI6"/>
  <c r="BK6"/>
  <c r="BK26"/>
  <c r="AV8"/>
  <c r="AV9"/>
  <c r="AV11"/>
  <c r="AV12"/>
  <c r="AV19"/>
  <c r="AV26"/>
  <c r="AO8"/>
  <c r="AO9"/>
  <c r="AO11"/>
  <c r="AO12"/>
  <c r="AO19"/>
  <c r="AO26"/>
  <c r="AN8"/>
  <c r="AN9"/>
  <c r="AN11"/>
  <c r="AN12"/>
  <c r="AN19"/>
  <c r="AN26"/>
  <c r="AM8"/>
  <c r="AM9"/>
  <c r="AM11"/>
  <c r="AM12"/>
  <c r="AM19"/>
  <c r="AM26"/>
  <c r="AL8"/>
  <c r="AL9"/>
  <c r="AL11"/>
  <c r="AL12"/>
  <c r="AL19"/>
  <c r="AL26"/>
  <c r="AP8"/>
  <c r="AP9"/>
  <c r="AP11"/>
  <c r="AP12"/>
  <c r="AP19"/>
  <c r="AP26"/>
  <c r="BI19"/>
  <c r="BI26"/>
  <c r="BQ7"/>
  <c r="BQ8"/>
  <c r="BQ9"/>
  <c r="BQ10"/>
  <c r="BQ11"/>
  <c r="BQ13"/>
  <c r="BQ16"/>
  <c r="BQ19"/>
  <c r="BQ20"/>
  <c r="BQ6"/>
  <c r="BQ26"/>
  <c r="BO7"/>
  <c r="BO8"/>
  <c r="BO9"/>
  <c r="BO10"/>
  <c r="BO11"/>
  <c r="BO13"/>
  <c r="BO16"/>
  <c r="BO19"/>
  <c r="BO20"/>
  <c r="BO6"/>
  <c r="BO26"/>
  <c r="BS7"/>
  <c r="BS8"/>
  <c r="BS9"/>
  <c r="BS10"/>
  <c r="BS11"/>
  <c r="BS13"/>
  <c r="BS16"/>
  <c r="BS19"/>
  <c r="BS20"/>
  <c r="BS6"/>
  <c r="BS26"/>
  <c r="AY7"/>
  <c r="AU8"/>
  <c r="AY8"/>
  <c r="AU9"/>
  <c r="AY9"/>
  <c r="AY10"/>
  <c r="AU11"/>
  <c r="AY11"/>
  <c r="AU12"/>
  <c r="AY12"/>
  <c r="AY13"/>
  <c r="AY14"/>
  <c r="AY15"/>
  <c r="AY16"/>
  <c r="AY17"/>
  <c r="AY18"/>
  <c r="AY19"/>
  <c r="AY20"/>
  <c r="AY6"/>
  <c r="AY26"/>
  <c r="AQ8"/>
  <c r="AR8"/>
  <c r="AS8"/>
  <c r="AT8"/>
  <c r="AW8"/>
  <c r="AX8"/>
  <c r="AQ9"/>
  <c r="AR9"/>
  <c r="AS9"/>
  <c r="AT9"/>
  <c r="AW9"/>
  <c r="AX9"/>
  <c r="AQ11"/>
  <c r="AR11"/>
  <c r="AS11"/>
  <c r="AT11"/>
  <c r="AW11"/>
  <c r="AX11"/>
  <c r="AQ12"/>
  <c r="AR12"/>
  <c r="AS12"/>
  <c r="AT12"/>
  <c r="AW12"/>
  <c r="AX12"/>
  <c r="AX19"/>
  <c r="F26"/>
  <c r="AX26"/>
  <c r="BD26"/>
  <c r="AW19"/>
  <c r="AW26"/>
  <c r="BB26"/>
  <c r="AQ19"/>
  <c r="AQ26"/>
  <c r="AZ26"/>
  <c r="AS26"/>
  <c r="BF26"/>
  <c r="BJ26"/>
  <c r="AR26"/>
  <c r="BN26"/>
  <c r="BP7"/>
  <c r="BP8"/>
  <c r="BP9"/>
  <c r="BP10"/>
  <c r="BP11"/>
  <c r="BP13"/>
  <c r="BP16"/>
  <c r="BP19"/>
  <c r="BP20"/>
  <c r="BP6"/>
  <c r="BP26"/>
  <c r="BR7"/>
  <c r="BR8"/>
  <c r="BR9"/>
  <c r="BR10"/>
  <c r="BR11"/>
  <c r="BR13"/>
  <c r="BR16"/>
  <c r="BR19"/>
  <c r="BR20"/>
  <c r="BR6"/>
  <c r="BR26"/>
  <c r="AT19"/>
  <c r="AU19"/>
  <c r="AU26"/>
  <c r="BH19"/>
  <c r="BH26"/>
  <c r="BG19"/>
  <c r="BG26"/>
  <c r="AT26"/>
  <c r="BL26"/>
  <c r="BM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BE7"/>
  <c r="BE8"/>
  <c r="BE9"/>
  <c r="BE10"/>
  <c r="BE11"/>
  <c r="BE12"/>
  <c r="BE13"/>
  <c r="BE14"/>
  <c r="BE15"/>
  <c r="BE16"/>
  <c r="BE17"/>
  <c r="BE18"/>
  <c r="BE19"/>
  <c r="BE20"/>
  <c r="BE21"/>
  <c r="BE22"/>
  <c r="BE23"/>
  <c r="BE24"/>
  <c r="BE25"/>
  <c r="BE6"/>
  <c r="BE26"/>
  <c r="G7"/>
  <c r="G8"/>
  <c r="G9"/>
  <c r="G10"/>
  <c r="G11"/>
  <c r="G12"/>
  <c r="G13"/>
  <c r="G14"/>
  <c r="G15"/>
  <c r="G16"/>
  <c r="G17"/>
  <c r="G18"/>
  <c r="G19"/>
  <c r="G20"/>
  <c r="G6"/>
  <c r="G26"/>
  <c r="AH7"/>
  <c r="AH8"/>
  <c r="AH9"/>
  <c r="AH10"/>
  <c r="AH11"/>
  <c r="AH13"/>
  <c r="AH14"/>
  <c r="AH15"/>
  <c r="AH16"/>
  <c r="AH17"/>
  <c r="AH18"/>
  <c r="AH19"/>
  <c r="AH20"/>
  <c r="BM8"/>
  <c r="BB8"/>
  <c r="AZ8"/>
  <c r="BL8"/>
  <c r="BD8"/>
  <c r="BN8"/>
  <c r="AZ9"/>
  <c r="BL9"/>
  <c r="BD9"/>
  <c r="BM9"/>
  <c r="BB9"/>
  <c r="BN9"/>
  <c r="AZ11"/>
  <c r="BM11"/>
  <c r="BL11"/>
  <c r="BB11"/>
  <c r="BD11"/>
  <c r="BN11"/>
  <c r="BB12"/>
  <c r="BM12"/>
  <c r="AZ12"/>
  <c r="BL12"/>
  <c r="BD12"/>
  <c r="BN12"/>
  <c r="D28"/>
  <c r="AE28"/>
  <c r="D31"/>
  <c r="AE31"/>
  <c r="W31"/>
  <c r="V31"/>
  <c r="D32"/>
  <c r="AE32"/>
  <c r="W32"/>
  <c r="V32"/>
  <c r="D33"/>
  <c r="AE33"/>
  <c r="W33"/>
  <c r="V33"/>
  <c r="D35"/>
  <c r="AE35"/>
  <c r="W35"/>
  <c r="V35"/>
  <c r="D38"/>
  <c r="AE38"/>
  <c r="W38"/>
  <c r="V38"/>
  <c r="D42"/>
  <c r="AE42"/>
  <c r="W42"/>
  <c r="V42"/>
  <c r="D29"/>
  <c r="AE29"/>
  <c r="W29"/>
  <c r="V29"/>
  <c r="E34"/>
  <c r="AF34"/>
  <c r="X34"/>
  <c r="Y34"/>
  <c r="E35"/>
  <c r="AF35"/>
  <c r="X35"/>
  <c r="Y35"/>
  <c r="E38"/>
  <c r="AF38"/>
  <c r="X38"/>
  <c r="Y38"/>
  <c r="D30"/>
  <c r="AE30"/>
  <c r="D34"/>
  <c r="D36"/>
  <c r="D37"/>
  <c r="D39"/>
  <c r="D40"/>
  <c r="D41"/>
  <c r="D48"/>
  <c r="E28"/>
  <c r="E29"/>
  <c r="E30"/>
  <c r="E31"/>
  <c r="E32"/>
  <c r="E33"/>
  <c r="E36"/>
  <c r="E37"/>
  <c r="E39"/>
  <c r="E40"/>
  <c r="E41"/>
  <c r="E42"/>
  <c r="E48"/>
  <c r="W30"/>
  <c r="V30"/>
  <c r="C29"/>
  <c r="T29"/>
  <c r="C31"/>
  <c r="T31"/>
  <c r="C32"/>
  <c r="T32"/>
  <c r="U29"/>
  <c r="U31"/>
  <c r="U32"/>
  <c r="H29"/>
  <c r="H31"/>
  <c r="H32"/>
  <c r="K29"/>
  <c r="K31"/>
  <c r="K32"/>
  <c r="L29"/>
  <c r="L31"/>
  <c r="L32"/>
  <c r="J29"/>
  <c r="J31"/>
  <c r="J32"/>
  <c r="M29"/>
  <c r="M31"/>
  <c r="M32"/>
  <c r="P29"/>
  <c r="P31"/>
  <c r="P32"/>
  <c r="O29"/>
  <c r="O31"/>
  <c r="O32"/>
  <c r="BT29"/>
  <c r="BT31"/>
  <c r="BT32"/>
  <c r="C36"/>
  <c r="BT36"/>
  <c r="C39"/>
  <c r="BT39"/>
  <c r="C40"/>
  <c r="BT40"/>
  <c r="C42"/>
  <c r="BT42"/>
  <c r="AD29"/>
  <c r="N29"/>
  <c r="T42"/>
  <c r="O42"/>
  <c r="K42"/>
  <c r="P42"/>
  <c r="M42"/>
  <c r="J42"/>
  <c r="U42"/>
  <c r="L42"/>
  <c r="H42"/>
  <c r="AD42"/>
  <c r="N42"/>
  <c r="T40"/>
  <c r="O40"/>
  <c r="K40"/>
  <c r="P40"/>
  <c r="M40"/>
  <c r="J40"/>
  <c r="U40"/>
  <c r="L40"/>
  <c r="H40"/>
  <c r="AD40"/>
  <c r="N40"/>
  <c r="T39"/>
  <c r="O39"/>
  <c r="K39"/>
  <c r="P39"/>
  <c r="M39"/>
  <c r="J39"/>
  <c r="U39"/>
  <c r="L39"/>
  <c r="H39"/>
  <c r="N39"/>
  <c r="AD39"/>
  <c r="T36"/>
  <c r="O36"/>
  <c r="K36"/>
  <c r="P36"/>
  <c r="M36"/>
  <c r="J36"/>
  <c r="U36"/>
  <c r="L36"/>
  <c r="H36"/>
  <c r="N36"/>
  <c r="AD36"/>
  <c r="AD32"/>
  <c r="N32"/>
  <c r="AD31"/>
  <c r="N31"/>
  <c r="C28"/>
  <c r="N28"/>
  <c r="AD28"/>
  <c r="F29"/>
  <c r="AH29"/>
  <c r="F31"/>
  <c r="AH31"/>
  <c r="F32"/>
  <c r="AH32"/>
  <c r="C33"/>
  <c r="F33"/>
  <c r="AH33"/>
  <c r="C34"/>
  <c r="F34"/>
  <c r="AH34"/>
  <c r="C35"/>
  <c r="F35"/>
  <c r="AH35"/>
  <c r="F36"/>
  <c r="AH36"/>
  <c r="C37"/>
  <c r="F37"/>
  <c r="AH37"/>
  <c r="C38"/>
  <c r="F38"/>
  <c r="AH38"/>
  <c r="F39"/>
  <c r="AH39"/>
  <c r="F40"/>
  <c r="AH40"/>
  <c r="C41"/>
  <c r="F41"/>
  <c r="AH41"/>
  <c r="F42"/>
  <c r="AH42"/>
  <c r="G29"/>
  <c r="G31"/>
  <c r="G32"/>
  <c r="G33"/>
  <c r="G34"/>
  <c r="G35"/>
  <c r="G36"/>
  <c r="G37"/>
  <c r="G38"/>
  <c r="G39"/>
  <c r="G40"/>
  <c r="G41"/>
  <c r="G42"/>
  <c r="AL29"/>
  <c r="AM29"/>
  <c r="AN29"/>
  <c r="AO29"/>
  <c r="AP29"/>
  <c r="AQ29"/>
  <c r="AL31"/>
  <c r="AM31"/>
  <c r="AN31"/>
  <c r="AO31"/>
  <c r="AP31"/>
  <c r="AQ31"/>
  <c r="AL32"/>
  <c r="AM32"/>
  <c r="AN32"/>
  <c r="AO32"/>
  <c r="AP32"/>
  <c r="AQ32"/>
  <c r="AL33"/>
  <c r="AM33"/>
  <c r="AN33"/>
  <c r="AO33"/>
  <c r="AP33"/>
  <c r="AQ33"/>
  <c r="AL34"/>
  <c r="AM34"/>
  <c r="AN34"/>
  <c r="AO34"/>
  <c r="AP34"/>
  <c r="AQ34"/>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41"/>
  <c r="AM41"/>
  <c r="AN41"/>
  <c r="AO41"/>
  <c r="AP41"/>
  <c r="AQ41"/>
  <c r="AL42"/>
  <c r="AM42"/>
  <c r="AN42"/>
  <c r="AO42"/>
  <c r="AP42"/>
  <c r="AQ42"/>
  <c r="AR29"/>
  <c r="AS29"/>
  <c r="AT29"/>
  <c r="AU29"/>
  <c r="AV29"/>
  <c r="AW29"/>
  <c r="AX29"/>
  <c r="AR31"/>
  <c r="AS31"/>
  <c r="AT31"/>
  <c r="AU31"/>
  <c r="AV31"/>
  <c r="AW31"/>
  <c r="AX31"/>
  <c r="AR32"/>
  <c r="AS32"/>
  <c r="AT32"/>
  <c r="AU32"/>
  <c r="AV32"/>
  <c r="AW32"/>
  <c r="AX32"/>
  <c r="AR33"/>
  <c r="AS33"/>
  <c r="AT33"/>
  <c r="AU33"/>
  <c r="AV33"/>
  <c r="AW33"/>
  <c r="AX33"/>
  <c r="AR34"/>
  <c r="AS34"/>
  <c r="AT34"/>
  <c r="AU34"/>
  <c r="AV34"/>
  <c r="AW34"/>
  <c r="AX34"/>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41"/>
  <c r="AS41"/>
  <c r="AT41"/>
  <c r="AU41"/>
  <c r="AV41"/>
  <c r="AW41"/>
  <c r="AX41"/>
  <c r="AR42"/>
  <c r="AS42"/>
  <c r="AT42"/>
  <c r="AU42"/>
  <c r="AV42"/>
  <c r="AW42"/>
  <c r="AX42"/>
  <c r="BF29"/>
  <c r="BF31"/>
  <c r="BF32"/>
  <c r="BF33"/>
  <c r="BF34"/>
  <c r="BF35"/>
  <c r="BF36"/>
  <c r="BF37"/>
  <c r="BF38"/>
  <c r="BF39"/>
  <c r="BF40"/>
  <c r="BF41"/>
  <c r="BF42"/>
  <c r="BJ29"/>
  <c r="BJ31"/>
  <c r="BJ32"/>
  <c r="BJ33"/>
  <c r="BJ34"/>
  <c r="BJ35"/>
  <c r="BJ36"/>
  <c r="BJ37"/>
  <c r="BJ38"/>
  <c r="BJ39"/>
  <c r="BJ40"/>
  <c r="BJ41"/>
  <c r="BJ42"/>
  <c r="BO29"/>
  <c r="BO31"/>
  <c r="BO32"/>
  <c r="BO36"/>
  <c r="BO39"/>
  <c r="BO40"/>
  <c r="BO42"/>
  <c r="BO33"/>
  <c r="BO34"/>
  <c r="BO35"/>
  <c r="BO37"/>
  <c r="BO38"/>
  <c r="BO41"/>
  <c r="BP29"/>
  <c r="BP31"/>
  <c r="BP32"/>
  <c r="BP33"/>
  <c r="BP34"/>
  <c r="BP35"/>
  <c r="BP36"/>
  <c r="BP37"/>
  <c r="BP38"/>
  <c r="BP39"/>
  <c r="BP40"/>
  <c r="BP41"/>
  <c r="BP42"/>
  <c r="BQ29"/>
  <c r="BQ31"/>
  <c r="BQ32"/>
  <c r="BQ33"/>
  <c r="BQ34"/>
  <c r="BQ35"/>
  <c r="BQ36"/>
  <c r="BQ37"/>
  <c r="BQ38"/>
  <c r="BQ39"/>
  <c r="BQ40"/>
  <c r="BQ41"/>
  <c r="BQ42"/>
  <c r="BI29"/>
  <c r="BI31"/>
  <c r="BI32"/>
  <c r="BI33"/>
  <c r="BI34"/>
  <c r="BI35"/>
  <c r="BI36"/>
  <c r="BI37"/>
  <c r="BI38"/>
  <c r="BI39"/>
  <c r="BI40"/>
  <c r="BI41"/>
  <c r="BI42"/>
  <c r="BG29"/>
  <c r="BG31"/>
  <c r="BG32"/>
  <c r="BG33"/>
  <c r="BG34"/>
  <c r="BG35"/>
  <c r="BG36"/>
  <c r="BG37"/>
  <c r="BG38"/>
  <c r="BG39"/>
  <c r="BG40"/>
  <c r="BG41"/>
  <c r="BG42"/>
  <c r="BH29"/>
  <c r="BH31"/>
  <c r="BH32"/>
  <c r="BH33"/>
  <c r="BH34"/>
  <c r="BH35"/>
  <c r="BH36"/>
  <c r="BH37"/>
  <c r="BH38"/>
  <c r="BH39"/>
  <c r="BH40"/>
  <c r="BH41"/>
  <c r="BH42"/>
  <c r="AY29"/>
  <c r="AY31"/>
  <c r="AY32"/>
  <c r="AY33"/>
  <c r="AY34"/>
  <c r="AY35"/>
  <c r="AY36"/>
  <c r="AY37"/>
  <c r="AY38"/>
  <c r="AY39"/>
  <c r="AY40"/>
  <c r="AY41"/>
  <c r="AY42"/>
  <c r="BK29"/>
  <c r="BK31"/>
  <c r="BK32"/>
  <c r="BK33"/>
  <c r="BK34"/>
  <c r="BK35"/>
  <c r="BK36"/>
  <c r="BK37"/>
  <c r="BK38"/>
  <c r="BK39"/>
  <c r="BK40"/>
  <c r="BK41"/>
  <c r="BK42"/>
  <c r="BL29"/>
  <c r="BL31"/>
  <c r="BL32"/>
  <c r="BL33"/>
  <c r="BL34"/>
  <c r="BL35"/>
  <c r="BL36"/>
  <c r="BL37"/>
  <c r="BL38"/>
  <c r="BL39"/>
  <c r="BL40"/>
  <c r="BL41"/>
  <c r="BL42"/>
  <c r="BR29"/>
  <c r="BR31"/>
  <c r="BR32"/>
  <c r="BR33"/>
  <c r="BR34"/>
  <c r="BR35"/>
  <c r="BR36"/>
  <c r="BR37"/>
  <c r="BR38"/>
  <c r="BR39"/>
  <c r="BR40"/>
  <c r="BR41"/>
  <c r="BR42"/>
  <c r="BS29"/>
  <c r="BS31"/>
  <c r="BS32"/>
  <c r="BS33"/>
  <c r="BS34"/>
  <c r="BS35"/>
  <c r="BS36"/>
  <c r="BS37"/>
  <c r="BS38"/>
  <c r="BS39"/>
  <c r="BS40"/>
  <c r="BS41"/>
  <c r="BS42"/>
  <c r="BT34"/>
  <c r="BT35"/>
  <c r="BT37"/>
  <c r="BT38"/>
  <c r="BT41"/>
  <c r="BT33"/>
  <c r="BN42"/>
  <c r="BD42"/>
  <c r="BB42"/>
  <c r="BM42"/>
  <c r="AZ42"/>
  <c r="BN40"/>
  <c r="BD40"/>
  <c r="AZ40"/>
  <c r="BM40"/>
  <c r="BB40"/>
  <c r="BN39"/>
  <c r="BB39"/>
  <c r="BD39"/>
  <c r="BM39"/>
  <c r="AZ39"/>
  <c r="BN38"/>
  <c r="AZ38"/>
  <c r="BD38"/>
  <c r="BM38"/>
  <c r="BB38"/>
  <c r="BN37"/>
  <c r="BD37"/>
  <c r="BB37"/>
  <c r="BM37"/>
  <c r="AZ37"/>
  <c r="BN36"/>
  <c r="AZ36"/>
  <c r="BD36"/>
  <c r="BM36"/>
  <c r="BB36"/>
  <c r="BN35"/>
  <c r="AZ35"/>
  <c r="BB35"/>
  <c r="BM35"/>
  <c r="BD35"/>
  <c r="BN34"/>
  <c r="BD34"/>
  <c r="BB34"/>
  <c r="BM34"/>
  <c r="AZ34"/>
  <c r="BN33"/>
  <c r="BB33"/>
  <c r="BD33"/>
  <c r="BM33"/>
  <c r="AZ33"/>
  <c r="BN32"/>
  <c r="BD32"/>
  <c r="AZ32"/>
  <c r="BB32"/>
  <c r="BM32"/>
  <c r="F28"/>
  <c r="AL28"/>
  <c r="AM28"/>
  <c r="AN28"/>
  <c r="AO28"/>
  <c r="AP28"/>
  <c r="AQ28"/>
  <c r="AZ28"/>
  <c r="AR28"/>
  <c r="AS28"/>
  <c r="AT28"/>
  <c r="AU28"/>
  <c r="AV28"/>
  <c r="AW28"/>
  <c r="AX28"/>
  <c r="BD28"/>
  <c r="BF28"/>
  <c r="BJ28"/>
  <c r="BN28"/>
  <c r="BG28"/>
  <c r="BH28"/>
  <c r="BM28"/>
  <c r="BB28"/>
  <c r="BD29"/>
  <c r="BN29"/>
  <c r="BM29"/>
  <c r="AZ29"/>
  <c r="BB29"/>
  <c r="BD41"/>
  <c r="BN41"/>
  <c r="BB41"/>
  <c r="BM41"/>
  <c r="AZ41"/>
  <c r="BN31"/>
  <c r="BM31"/>
  <c r="AZ31"/>
  <c r="BD31"/>
  <c r="BB31"/>
  <c r="C30"/>
  <c r="F30"/>
  <c r="AH30"/>
  <c r="AH28"/>
  <c r="AH48"/>
  <c r="G30"/>
  <c r="G28"/>
  <c r="G48"/>
  <c r="AL30"/>
  <c r="AM30"/>
  <c r="AN30"/>
  <c r="AO30"/>
  <c r="AP30"/>
  <c r="AQ30"/>
  <c r="AQ48"/>
  <c r="BA29"/>
  <c r="BA30"/>
  <c r="BA31"/>
  <c r="BA32"/>
  <c r="BA33"/>
  <c r="BA34"/>
  <c r="BA35"/>
  <c r="BA36"/>
  <c r="BA37"/>
  <c r="BA38"/>
  <c r="BA39"/>
  <c r="BA40"/>
  <c r="BA41"/>
  <c r="BA42"/>
  <c r="BA43"/>
  <c r="BA44"/>
  <c r="BA45"/>
  <c r="BA46"/>
  <c r="BA47"/>
  <c r="BA28"/>
  <c r="BA48"/>
  <c r="AR30"/>
  <c r="AS30"/>
  <c r="AT30"/>
  <c r="AU30"/>
  <c r="AV30"/>
  <c r="AW30"/>
  <c r="AX30"/>
  <c r="AX48"/>
  <c r="BE29"/>
  <c r="BE30"/>
  <c r="BE31"/>
  <c r="BE32"/>
  <c r="BE33"/>
  <c r="BE34"/>
  <c r="BE35"/>
  <c r="BE36"/>
  <c r="BE37"/>
  <c r="BE38"/>
  <c r="BE39"/>
  <c r="BE40"/>
  <c r="BE41"/>
  <c r="BE42"/>
  <c r="BE43"/>
  <c r="BE44"/>
  <c r="BE45"/>
  <c r="BE46"/>
  <c r="BE47"/>
  <c r="BE28"/>
  <c r="BE48"/>
  <c r="AS48"/>
  <c r="BF30"/>
  <c r="BF48"/>
  <c r="BJ30"/>
  <c r="BJ48"/>
  <c r="AR48"/>
  <c r="BN48"/>
  <c r="BO30"/>
  <c r="BO28"/>
  <c r="BO48"/>
  <c r="BP30"/>
  <c r="BP28"/>
  <c r="BP48"/>
  <c r="BQ30"/>
  <c r="BQ28"/>
  <c r="BQ48"/>
  <c r="AL48"/>
  <c r="AN48"/>
  <c r="BI30"/>
  <c r="BI28"/>
  <c r="BI48"/>
  <c r="AO48"/>
  <c r="AU48"/>
  <c r="BG30"/>
  <c r="BG48"/>
  <c r="BH30"/>
  <c r="BH48"/>
  <c r="AT48"/>
  <c r="BM48"/>
  <c r="AM48"/>
  <c r="AY30"/>
  <c r="AY28"/>
  <c r="AY48"/>
  <c r="AW48"/>
  <c r="BC29"/>
  <c r="BC30"/>
  <c r="BC31"/>
  <c r="BC32"/>
  <c r="BC33"/>
  <c r="BC34"/>
  <c r="BC35"/>
  <c r="BC36"/>
  <c r="BC37"/>
  <c r="BC38"/>
  <c r="BC39"/>
  <c r="BC40"/>
  <c r="BC41"/>
  <c r="BC42"/>
  <c r="BC43"/>
  <c r="BC44"/>
  <c r="BC45"/>
  <c r="BC46"/>
  <c r="BC47"/>
  <c r="BC28"/>
  <c r="BC48"/>
  <c r="F48"/>
  <c r="BB48"/>
  <c r="BD48"/>
  <c r="AZ48"/>
  <c r="BK30"/>
  <c r="BK28"/>
  <c r="BK48"/>
  <c r="BL30"/>
  <c r="BL28"/>
  <c r="BL48"/>
  <c r="BR30"/>
  <c r="BR28"/>
  <c r="BR48"/>
  <c r="BS30"/>
  <c r="BS28"/>
  <c r="BS48"/>
  <c r="AP48"/>
  <c r="AV48"/>
  <c r="BT30"/>
  <c r="BT28"/>
  <c r="BT48"/>
  <c r="BN30"/>
  <c r="BD30"/>
  <c r="AZ30"/>
  <c r="BB30"/>
  <c r="BM30"/>
  <c r="AH12"/>
  <c r="AH6"/>
  <c r="AH26"/>
  <c r="K38"/>
  <c r="N38"/>
  <c r="K34"/>
  <c r="N34"/>
  <c r="H33"/>
  <c r="I33"/>
  <c r="I32"/>
  <c r="I31"/>
  <c r="H30"/>
  <c r="I30"/>
  <c r="I29"/>
  <c r="I28"/>
  <c r="I20"/>
  <c r="I19"/>
  <c r="H18"/>
  <c r="I18"/>
  <c r="H17"/>
  <c r="I17"/>
  <c r="I16"/>
  <c r="H15"/>
  <c r="I15"/>
  <c r="H14"/>
  <c r="I14"/>
  <c r="I13"/>
  <c r="H12"/>
  <c r="I12"/>
  <c r="I11"/>
  <c r="I10"/>
  <c r="I9"/>
  <c r="I8"/>
  <c r="I7"/>
  <c r="I6"/>
  <c r="K12"/>
  <c r="O12"/>
  <c r="P12"/>
  <c r="K14"/>
  <c r="O14"/>
  <c r="P14"/>
  <c r="K15"/>
  <c r="O15"/>
  <c r="P15"/>
  <c r="K17"/>
  <c r="O17"/>
  <c r="P17"/>
  <c r="K18"/>
  <c r="O18"/>
  <c r="P18"/>
  <c r="K6"/>
  <c r="P6"/>
  <c r="P26"/>
  <c r="J12"/>
  <c r="J14"/>
  <c r="J15"/>
  <c r="J17"/>
  <c r="J18"/>
  <c r="J6"/>
  <c r="J26"/>
  <c r="O6"/>
  <c r="O26"/>
  <c r="L12"/>
  <c r="L14"/>
  <c r="L15"/>
  <c r="L17"/>
  <c r="L18"/>
  <c r="L6"/>
  <c r="L26"/>
  <c r="M12"/>
  <c r="M14"/>
  <c r="M15"/>
  <c r="M17"/>
  <c r="M18"/>
  <c r="M6"/>
  <c r="M26"/>
  <c r="K26"/>
  <c r="C26"/>
  <c r="N26"/>
  <c r="N18"/>
  <c r="N15"/>
  <c r="N17"/>
  <c r="N12"/>
  <c r="H34"/>
  <c r="I34"/>
  <c r="H35"/>
  <c r="I35"/>
  <c r="I36"/>
  <c r="H37"/>
  <c r="I37"/>
  <c r="H38"/>
  <c r="I38"/>
  <c r="I39"/>
  <c r="I40"/>
  <c r="H41"/>
  <c r="I41"/>
  <c r="I42"/>
  <c r="N14"/>
  <c r="O30"/>
  <c r="O33"/>
  <c r="O34"/>
  <c r="O35"/>
  <c r="O37"/>
  <c r="O38"/>
  <c r="O41"/>
  <c r="O28"/>
  <c r="O48"/>
  <c r="K30"/>
  <c r="P30"/>
  <c r="K33"/>
  <c r="P33"/>
  <c r="P34"/>
  <c r="K35"/>
  <c r="P35"/>
  <c r="K37"/>
  <c r="P37"/>
  <c r="P38"/>
  <c r="K41"/>
  <c r="P41"/>
  <c r="K28"/>
  <c r="P28"/>
  <c r="P48"/>
  <c r="M30"/>
  <c r="M33"/>
  <c r="M34"/>
  <c r="M35"/>
  <c r="M37"/>
  <c r="M38"/>
  <c r="M41"/>
  <c r="M28"/>
  <c r="M48"/>
  <c r="J30"/>
  <c r="J33"/>
  <c r="J34"/>
  <c r="J35"/>
  <c r="J37"/>
  <c r="J38"/>
  <c r="J41"/>
  <c r="J28"/>
  <c r="J48"/>
  <c r="L30"/>
  <c r="L33"/>
  <c r="L34"/>
  <c r="L35"/>
  <c r="L37"/>
  <c r="L38"/>
  <c r="L41"/>
  <c r="L28"/>
  <c r="L48"/>
  <c r="H6"/>
  <c r="H26"/>
  <c r="I26"/>
  <c r="K48"/>
  <c r="C48"/>
  <c r="N48"/>
  <c r="N33"/>
  <c r="N35"/>
  <c r="N37"/>
  <c r="N41"/>
  <c r="H28"/>
  <c r="H48"/>
  <c r="I48"/>
  <c r="N30"/>
  <c r="W28"/>
  <c r="V28"/>
  <c r="W6"/>
  <c r="U28"/>
  <c r="T28"/>
  <c r="T6"/>
  <c r="U6"/>
  <c r="Z19"/>
  <c r="V6"/>
  <c r="X6"/>
  <c r="Y6"/>
  <c r="X7"/>
  <c r="Y7"/>
  <c r="X8"/>
  <c r="Y8"/>
  <c r="X9"/>
  <c r="Y9"/>
  <c r="X10"/>
  <c r="Y10"/>
  <c r="X11"/>
  <c r="Y11"/>
  <c r="X12"/>
  <c r="Y12"/>
  <c r="X13"/>
  <c r="Y13"/>
  <c r="X14"/>
  <c r="Y14"/>
  <c r="X17"/>
  <c r="Y17"/>
  <c r="X18"/>
  <c r="Y18"/>
  <c r="X20"/>
  <c r="Y20"/>
  <c r="Y26"/>
  <c r="AF10"/>
  <c r="AF13"/>
  <c r="AF12"/>
  <c r="X28"/>
  <c r="X29"/>
  <c r="X30"/>
  <c r="X31"/>
  <c r="X32"/>
  <c r="X33"/>
  <c r="X36"/>
  <c r="X37"/>
  <c r="X39"/>
  <c r="X40"/>
  <c r="X41"/>
  <c r="X42"/>
  <c r="X48"/>
  <c r="V34"/>
  <c r="W34"/>
  <c r="V36"/>
  <c r="W36"/>
  <c r="V37"/>
  <c r="W37"/>
  <c r="V39"/>
  <c r="W39"/>
  <c r="V40"/>
  <c r="W40"/>
  <c r="V41"/>
  <c r="W41"/>
  <c r="W48"/>
  <c r="AE39"/>
  <c r="V48"/>
  <c r="V11"/>
  <c r="W11"/>
  <c r="V14"/>
  <c r="W14"/>
  <c r="V15"/>
  <c r="W15"/>
  <c r="V16"/>
  <c r="W16"/>
  <c r="W26"/>
  <c r="AE15"/>
  <c r="AF17"/>
  <c r="AE34"/>
  <c r="Y28"/>
  <c r="Y29"/>
  <c r="Y30"/>
  <c r="Y31"/>
  <c r="Y32"/>
  <c r="Y33"/>
  <c r="Y36"/>
  <c r="Y37"/>
  <c r="Y39"/>
  <c r="Y40"/>
  <c r="Y41"/>
  <c r="Y42"/>
  <c r="Y48"/>
  <c r="AF39"/>
  <c r="AF28"/>
  <c r="AF32"/>
  <c r="AF30"/>
  <c r="AE40"/>
  <c r="AE41"/>
  <c r="AF37"/>
  <c r="AF29"/>
  <c r="AE37"/>
  <c r="AF42"/>
  <c r="AF31"/>
  <c r="AF33"/>
  <c r="AF41"/>
  <c r="AE36"/>
  <c r="AF40"/>
  <c r="AF36"/>
  <c r="AE14"/>
  <c r="AF11"/>
  <c r="AF20"/>
  <c r="AF18"/>
  <c r="Q7"/>
  <c r="Q8"/>
  <c r="Q9"/>
  <c r="Q10"/>
  <c r="Q11"/>
  <c r="Q12"/>
  <c r="Q13"/>
  <c r="Q14"/>
  <c r="Q15"/>
  <c r="Q16"/>
  <c r="Q17"/>
  <c r="Q18"/>
  <c r="Q20"/>
  <c r="R7"/>
  <c r="R8"/>
  <c r="R9"/>
  <c r="R10"/>
  <c r="R11"/>
  <c r="R12"/>
  <c r="R13"/>
  <c r="R14"/>
  <c r="R15"/>
  <c r="R16"/>
  <c r="R17"/>
  <c r="R18"/>
  <c r="R20"/>
  <c r="R6"/>
  <c r="R26"/>
  <c r="AB18"/>
  <c r="Q6"/>
  <c r="Q26"/>
  <c r="AA18"/>
  <c r="AC18"/>
  <c r="AB10"/>
  <c r="AA10"/>
  <c r="AC10"/>
  <c r="T30"/>
  <c r="U30"/>
  <c r="T33"/>
  <c r="U33"/>
  <c r="T34"/>
  <c r="U34"/>
  <c r="T35"/>
  <c r="U35"/>
  <c r="T37"/>
  <c r="U37"/>
  <c r="T38"/>
  <c r="U38"/>
  <c r="T41"/>
  <c r="U41"/>
  <c r="U48"/>
  <c r="AD35"/>
  <c r="T48"/>
  <c r="AD33"/>
  <c r="AD38"/>
  <c r="AD34"/>
  <c r="AD41"/>
  <c r="AD37"/>
  <c r="AA22"/>
  <c r="AC22"/>
  <c r="AA24"/>
  <c r="AC24"/>
  <c r="AB16"/>
  <c r="AA16"/>
  <c r="AC16"/>
  <c r="AB11"/>
  <c r="AA11"/>
  <c r="AC11"/>
  <c r="AA19"/>
  <c r="AC19"/>
  <c r="AB7"/>
  <c r="AA7"/>
  <c r="AC7"/>
  <c r="AA23"/>
  <c r="AC23"/>
  <c r="AB13"/>
  <c r="AA13"/>
  <c r="AC13"/>
  <c r="AB12"/>
  <c r="AA12"/>
  <c r="AC12"/>
  <c r="AB8"/>
  <c r="AA8"/>
  <c r="AC8"/>
  <c r="AB15"/>
  <c r="AA15"/>
  <c r="AC15"/>
  <c r="AA25"/>
  <c r="AC25"/>
  <c r="AA21"/>
  <c r="AC21"/>
  <c r="AB20"/>
  <c r="AA20"/>
  <c r="AC20"/>
  <c r="AB17"/>
  <c r="AA17"/>
  <c r="AC17"/>
  <c r="AB9"/>
  <c r="AA9"/>
  <c r="AC9"/>
  <c r="S14"/>
  <c r="Z14"/>
  <c r="S6"/>
  <c r="Z6"/>
  <c r="S7"/>
  <c r="Z7"/>
  <c r="S8"/>
  <c r="Z8"/>
  <c r="S9"/>
  <c r="Z9"/>
  <c r="S10"/>
  <c r="Z10"/>
  <c r="S11"/>
  <c r="Z11"/>
  <c r="S12"/>
  <c r="Z12"/>
  <c r="S13"/>
  <c r="Z13"/>
  <c r="S15"/>
  <c r="Z15"/>
  <c r="S16"/>
  <c r="Z16"/>
  <c r="S17"/>
  <c r="Z17"/>
  <c r="S18"/>
  <c r="Z18"/>
  <c r="S20"/>
  <c r="Z20"/>
  <c r="Z26"/>
  <c r="AG14"/>
  <c r="AG6"/>
  <c r="AB14"/>
  <c r="AA14"/>
  <c r="AC14"/>
  <c r="S26"/>
  <c r="T12"/>
  <c r="T14"/>
  <c r="T15"/>
  <c r="T17"/>
  <c r="T18"/>
  <c r="T26"/>
  <c r="U12"/>
  <c r="U14"/>
  <c r="U15"/>
  <c r="U17"/>
  <c r="U18"/>
  <c r="U26"/>
  <c r="AD18"/>
  <c r="AD17"/>
  <c r="AD12"/>
  <c r="AG23"/>
  <c r="AG21"/>
  <c r="AG18"/>
  <c r="AG19"/>
  <c r="AG15"/>
  <c r="AD15"/>
  <c r="AG25"/>
  <c r="AG9"/>
  <c r="AG24"/>
  <c r="AG16"/>
  <c r="AG11"/>
  <c r="AG13"/>
  <c r="AG8"/>
  <c r="AD14"/>
  <c r="AB6"/>
  <c r="AA6"/>
  <c r="AC6"/>
  <c r="AG10"/>
  <c r="AG22"/>
  <c r="AG20"/>
  <c r="AG7"/>
  <c r="AG12"/>
  <c r="AG17"/>
  <c r="AB21"/>
  <c r="AB24"/>
  <c r="AB25"/>
  <c r="AB22"/>
  <c r="AB19"/>
  <c r="AB23"/>
  <c r="Q29"/>
  <c r="Q30"/>
  <c r="Q31"/>
  <c r="Q32"/>
  <c r="Q33"/>
  <c r="Q34"/>
  <c r="Q35"/>
  <c r="Q36"/>
  <c r="Q37"/>
  <c r="Q38"/>
  <c r="Q39"/>
  <c r="Q40"/>
  <c r="Q41"/>
  <c r="Q42"/>
  <c r="Q28"/>
  <c r="Q48"/>
  <c r="AA43"/>
  <c r="AC43"/>
  <c r="R29"/>
  <c r="R30"/>
  <c r="R31"/>
  <c r="R32"/>
  <c r="R33"/>
  <c r="R34"/>
  <c r="R35"/>
  <c r="R36"/>
  <c r="R37"/>
  <c r="R38"/>
  <c r="R39"/>
  <c r="R40"/>
  <c r="R41"/>
  <c r="R42"/>
  <c r="R28"/>
  <c r="R48"/>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S28"/>
  <c r="Z28"/>
  <c r="S29"/>
  <c r="Z29"/>
  <c r="S30"/>
  <c r="Z30"/>
  <c r="S31"/>
  <c r="Z31"/>
  <c r="S32"/>
  <c r="Z32"/>
  <c r="S33"/>
  <c r="Z33"/>
  <c r="S34"/>
  <c r="Z34"/>
  <c r="S35"/>
  <c r="Z35"/>
  <c r="S36"/>
  <c r="Z36"/>
  <c r="S37"/>
  <c r="Z37"/>
  <c r="S38"/>
  <c r="Z38"/>
  <c r="S39"/>
  <c r="Z39"/>
  <c r="S40"/>
  <c r="Z40"/>
  <c r="S41"/>
  <c r="Z41"/>
  <c r="S42"/>
  <c r="Z42"/>
  <c r="Z48"/>
  <c r="AG47"/>
  <c r="AB43"/>
  <c r="AB46"/>
  <c r="AG40"/>
  <c r="AG29"/>
  <c r="AG33"/>
  <c r="AG41"/>
  <c r="AG36"/>
  <c r="AG37"/>
  <c r="AG43"/>
  <c r="AG44"/>
  <c r="AG32"/>
  <c r="AG34"/>
  <c r="AG46"/>
  <c r="AG38"/>
  <c r="AG30"/>
  <c r="AG42"/>
  <c r="X26"/>
  <c r="AG45"/>
  <c r="AB45"/>
  <c r="AB47"/>
  <c r="AB44"/>
  <c r="AG35"/>
  <c r="AG28"/>
  <c r="AG31"/>
  <c r="AG39"/>
  <c r="S48"/>
  <c r="V26"/>
  <c r="AE16"/>
  <c r="AF7"/>
  <c r="AF8"/>
  <c r="AF6"/>
  <c r="AF14"/>
  <c r="AF9"/>
  <c r="AE11"/>
  <c r="AD30"/>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83" i="2"/>
  <c r="C38"/>
  <c r="I38"/>
  <c r="C39"/>
  <c r="C40"/>
  <c r="I39"/>
  <c r="I40"/>
  <c r="E39"/>
  <c r="K39"/>
  <c r="K38"/>
  <c r="K40"/>
  <c r="E38"/>
  <c r="E40"/>
  <c r="Y44" i="5"/>
  <c r="AQ1"/>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S52"/>
  <c r="A54"/>
  <c r="S54"/>
  <c r="A56"/>
  <c r="S56"/>
  <c r="A58"/>
  <c r="S58"/>
  <c r="A60"/>
  <c r="S60"/>
  <c r="A4"/>
  <c r="AN86"/>
  <c r="R86"/>
  <c r="R2"/>
  <c r="AN2"/>
  <c r="A1"/>
  <c r="A85"/>
  <c r="W1"/>
  <c r="W85"/>
  <c r="AO16"/>
  <c r="AO12"/>
  <c r="AO8"/>
  <c r="S44"/>
  <c r="S28"/>
  <c r="S30"/>
  <c r="S36"/>
  <c r="S38"/>
  <c r="S24"/>
  <c r="S18"/>
  <c r="S14"/>
  <c r="S8"/>
  <c r="S4"/>
  <c r="S6"/>
  <c r="AO14"/>
  <c r="AO10"/>
  <c r="AO6"/>
  <c r="AO4"/>
  <c r="S50"/>
  <c r="S48"/>
  <c r="S46"/>
  <c r="S22"/>
  <c r="S26"/>
  <c r="S32"/>
  <c r="AO110"/>
  <c r="AO112"/>
  <c r="AO116"/>
  <c r="AO122"/>
  <c r="AO124"/>
  <c r="AO128"/>
  <c r="S106"/>
  <c r="S112"/>
  <c r="AO28"/>
  <c r="AO30"/>
  <c r="AO32"/>
  <c r="AO36"/>
  <c r="AO40"/>
  <c r="AO102"/>
  <c r="AO106"/>
  <c r="AO108"/>
  <c r="AO114"/>
  <c r="AO118"/>
  <c r="AO120"/>
  <c r="AO126"/>
  <c r="S128"/>
  <c r="S116"/>
  <c r="S120"/>
  <c r="S124"/>
  <c r="AO92"/>
  <c r="AO94"/>
  <c r="AO96"/>
  <c r="AO98"/>
  <c r="AO100"/>
  <c r="AO104"/>
  <c r="S34"/>
  <c r="S40"/>
  <c r="S92"/>
  <c r="S94"/>
  <c r="S98"/>
  <c r="S104"/>
  <c r="S118"/>
  <c r="S122"/>
  <c r="S126"/>
  <c r="AO88"/>
  <c r="AO90"/>
  <c r="AO44"/>
  <c r="AO46"/>
  <c r="AO50"/>
  <c r="S90"/>
  <c r="S96"/>
  <c r="S100"/>
  <c r="S102"/>
  <c r="S108"/>
  <c r="S110"/>
  <c r="S114"/>
  <c r="AO18"/>
  <c r="AO20"/>
  <c r="AO24"/>
  <c r="AO26"/>
  <c r="AO34"/>
  <c r="AO38"/>
  <c r="AO42"/>
  <c r="AO48"/>
  <c r="S88"/>
  <c r="S42"/>
  <c r="S20"/>
  <c r="S16"/>
  <c r="S12"/>
  <c r="S10"/>
  <c r="AO2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D24"/>
  <c r="AF24"/>
  <c r="AI24"/>
  <c r="AK24"/>
  <c r="X24"/>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B140"/>
  <c r="B139"/>
  <c r="AE150"/>
  <c r="AJ150"/>
  <c r="L47"/>
  <c r="Q47"/>
  <c r="N126"/>
  <c r="N127"/>
  <c r="N125"/>
  <c r="N123"/>
  <c r="AG27"/>
  <c r="AG28"/>
  <c r="AG25"/>
  <c r="AG26"/>
  <c r="AG24"/>
  <c r="U61"/>
  <c r="U60"/>
  <c r="U160"/>
  <c r="B137"/>
  <c r="B132"/>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C149"/>
  <c r="AE149"/>
  <c r="AJ149"/>
  <c r="B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47"/>
  <c r="AA47"/>
  <c r="AC47"/>
  <c r="AE47"/>
  <c r="AJ47"/>
  <c r="Y47"/>
  <c r="W47"/>
  <c r="Z47"/>
  <c r="AB171"/>
  <c r="AA171"/>
  <c r="Z171"/>
  <c r="AH171"/>
  <c r="AJ171"/>
  <c r="AE171"/>
  <c r="AE148"/>
  <c r="AC148"/>
  <c r="AA194"/>
  <c r="W194"/>
  <c r="AH194"/>
  <c r="AE194"/>
  <c r="AJ194"/>
  <c r="Z194"/>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B191"/>
  <c r="B168"/>
  <c r="O49"/>
  <c r="H49"/>
  <c r="D49"/>
  <c r="I49"/>
  <c r="G49"/>
  <c r="J49"/>
  <c r="Q49"/>
  <c r="H51"/>
  <c r="D51"/>
  <c r="I51"/>
  <c r="G51"/>
  <c r="J51"/>
  <c r="Q51"/>
  <c r="V139"/>
  <c r="V162"/>
  <c r="V193"/>
  <c r="V170"/>
  <c r="F172"/>
  <c r="O172"/>
  <c r="Q172"/>
  <c r="O125"/>
  <c r="V185"/>
  <c r="Q149"/>
  <c r="AE93"/>
  <c r="L93"/>
  <c r="Q111"/>
  <c r="I149"/>
  <c r="F149"/>
  <c r="AH149"/>
  <c r="Y93"/>
  <c r="W93"/>
  <c r="Q125"/>
  <c r="F51"/>
  <c r="AE48"/>
  <c r="F125"/>
  <c r="F49"/>
  <c r="B182"/>
  <c r="U181"/>
  <c r="V154"/>
  <c r="O51"/>
  <c r="B160"/>
  <c r="B183"/>
  <c r="AB93"/>
  <c r="O96"/>
  <c r="G96"/>
  <c r="J96"/>
  <c r="L96"/>
  <c r="C154"/>
  <c r="C131"/>
  <c r="H126"/>
  <c r="D126"/>
  <c r="K126"/>
  <c r="F126"/>
  <c r="P126"/>
  <c r="J126"/>
  <c r="B188"/>
  <c r="AB72"/>
  <c r="Z72"/>
  <c r="Y72"/>
  <c r="V196"/>
  <c r="V150"/>
  <c r="V173"/>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9"/>
  <c r="E10"/>
  <c r="P9"/>
  <c r="E9"/>
  <c r="P10"/>
  <c r="W3"/>
  <c r="X23"/>
  <c r="AK21"/>
  <c r="AD17"/>
  <c r="AD13"/>
  <c r="M9"/>
  <c r="AK12"/>
  <c r="AD12"/>
  <c r="R10"/>
  <c r="M10"/>
  <c r="AK19"/>
  <c r="X11"/>
  <c r="AI11"/>
  <c r="AF18"/>
  <c r="AK20"/>
  <c r="AD23"/>
  <c r="AI16"/>
  <c r="AF19"/>
  <c r="AD15"/>
  <c r="X13"/>
  <c r="X14"/>
  <c r="AF20"/>
  <c r="AF23"/>
  <c r="AF12"/>
  <c r="AF9"/>
  <c r="AK13"/>
  <c r="AI19"/>
  <c r="AI13"/>
  <c r="X21"/>
  <c r="X12"/>
  <c r="AF22"/>
  <c r="AI21"/>
  <c r="AF17"/>
  <c r="AK17"/>
  <c r="AK23"/>
  <c r="AI18"/>
  <c r="AI17"/>
  <c r="AF16"/>
  <c r="X20"/>
  <c r="X10"/>
  <c r="AK11"/>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2"/>
  <c r="P22"/>
  <c r="E22"/>
  <c r="M22"/>
  <c r="K20"/>
  <c r="P20"/>
  <c r="E20"/>
  <c r="M20"/>
  <c r="K23"/>
  <c r="K21"/>
  <c r="K19"/>
  <c r="M18"/>
  <c r="P16"/>
  <c r="P14"/>
  <c r="P12"/>
  <c r="P21"/>
  <c r="E21"/>
  <c r="R20"/>
  <c r="R19"/>
  <c r="M19"/>
  <c r="R16"/>
  <c r="E16"/>
  <c r="R12"/>
  <c r="E12"/>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F122"/>
  <c r="AI122"/>
  <c r="AK122"/>
  <c r="AD122"/>
  <c r="X122"/>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Z182"/>
  <c r="AA182"/>
  <c r="AB182"/>
  <c r="Y182"/>
  <c r="AC182"/>
  <c r="AH182"/>
  <c r="W182"/>
  <c r="AE182"/>
  <c r="AJ182"/>
  <c r="G86"/>
  <c r="H86"/>
  <c r="I86"/>
  <c r="F86"/>
  <c r="J86"/>
  <c r="O86"/>
  <c r="D86"/>
  <c r="L86"/>
  <c r="Q86"/>
  <c r="Z180"/>
  <c r="Z157"/>
  <c r="Z134"/>
  <c r="AA180"/>
  <c r="AA157"/>
  <c r="AA134"/>
  <c r="AB180"/>
  <c r="AB157"/>
  <c r="AB134"/>
  <c r="Y157"/>
  <c r="Y180"/>
  <c r="Y134"/>
  <c r="AC134"/>
  <c r="AH180"/>
  <c r="AH157"/>
  <c r="AH134"/>
  <c r="W157"/>
  <c r="W180"/>
  <c r="W134"/>
  <c r="AE134"/>
  <c r="AJ134"/>
  <c r="G88"/>
  <c r="H88"/>
  <c r="I88"/>
  <c r="F88"/>
  <c r="J88"/>
  <c r="O88"/>
  <c r="D88"/>
  <c r="L88"/>
  <c r="Q88"/>
  <c r="Z87"/>
  <c r="Z64"/>
  <c r="Z41"/>
  <c r="AA87"/>
  <c r="AA64"/>
  <c r="AA41"/>
  <c r="AB87"/>
  <c r="AB64"/>
  <c r="AB41"/>
  <c r="Y64"/>
  <c r="Y87"/>
  <c r="Y41"/>
  <c r="AC41"/>
  <c r="AH87"/>
  <c r="AH64"/>
  <c r="AH41"/>
  <c r="W64"/>
  <c r="W87"/>
  <c r="W41"/>
  <c r="AE41"/>
  <c r="AJ41"/>
  <c r="Z79"/>
  <c r="Z56"/>
  <c r="Z33"/>
  <c r="AA79"/>
  <c r="AA56"/>
  <c r="AA33"/>
  <c r="AB79"/>
  <c r="AB56"/>
  <c r="AB33"/>
  <c r="Y56"/>
  <c r="Y79"/>
  <c r="Y33"/>
  <c r="AC33"/>
  <c r="AH79"/>
  <c r="AH56"/>
  <c r="AH33"/>
  <c r="W56"/>
  <c r="W79"/>
  <c r="W33"/>
  <c r="AE33"/>
  <c r="AJ33"/>
  <c r="G191"/>
  <c r="H191"/>
  <c r="I191"/>
  <c r="F191"/>
  <c r="J191"/>
  <c r="O191"/>
  <c r="D191"/>
  <c r="L191"/>
  <c r="Q191"/>
  <c r="Z186"/>
  <c r="AA186"/>
  <c r="AB186"/>
  <c r="Y186"/>
  <c r="AC186"/>
  <c r="AH186"/>
  <c r="W186"/>
  <c r="AE186"/>
  <c r="AJ186"/>
  <c r="Z91"/>
  <c r="Z68"/>
  <c r="Z45"/>
  <c r="AA91"/>
  <c r="AA68"/>
  <c r="AA45"/>
  <c r="AB91"/>
  <c r="AB68"/>
  <c r="AB45"/>
  <c r="Y68"/>
  <c r="Y91"/>
  <c r="Y45"/>
  <c r="AC45"/>
  <c r="AH91"/>
  <c r="AH68"/>
  <c r="AH45"/>
  <c r="W68"/>
  <c r="W91"/>
  <c r="W45"/>
  <c r="AE45"/>
  <c r="AJ45"/>
  <c r="F162"/>
  <c r="G162"/>
  <c r="H162"/>
  <c r="I162"/>
  <c r="J162"/>
  <c r="D162"/>
  <c r="L162"/>
  <c r="O162"/>
  <c r="Q162"/>
  <c r="Z81"/>
  <c r="Z58"/>
  <c r="Z35"/>
  <c r="AA81"/>
  <c r="AA58"/>
  <c r="AA35"/>
  <c r="AB81"/>
  <c r="AB58"/>
  <c r="AB35"/>
  <c r="Y58"/>
  <c r="Y81"/>
  <c r="Y35"/>
  <c r="AC35"/>
  <c r="AH81"/>
  <c r="AH58"/>
  <c r="AH35"/>
  <c r="W58"/>
  <c r="W81"/>
  <c r="W35"/>
  <c r="AE35"/>
  <c r="AJ35"/>
  <c r="Y60"/>
  <c r="Z60"/>
  <c r="AA60"/>
  <c r="AB60"/>
  <c r="AC60"/>
  <c r="W60"/>
  <c r="AE60"/>
  <c r="AH60"/>
  <c r="AJ60"/>
  <c r="G87"/>
  <c r="G64"/>
  <c r="G41"/>
  <c r="H87"/>
  <c r="H64"/>
  <c r="H41"/>
  <c r="I87"/>
  <c r="I64"/>
  <c r="I41"/>
  <c r="F64"/>
  <c r="F87"/>
  <c r="F41"/>
  <c r="J41"/>
  <c r="O87"/>
  <c r="O64"/>
  <c r="O41"/>
  <c r="D64"/>
  <c r="D87"/>
  <c r="D41"/>
  <c r="L41"/>
  <c r="Q41"/>
  <c r="G85"/>
  <c r="H85"/>
  <c r="I85"/>
  <c r="F85"/>
  <c r="J85"/>
  <c r="O85"/>
  <c r="D85"/>
  <c r="L85"/>
  <c r="Q85"/>
  <c r="Z92"/>
  <c r="AA92"/>
  <c r="AB92"/>
  <c r="Y92"/>
  <c r="AC92"/>
  <c r="AH92"/>
  <c r="W92"/>
  <c r="AE92"/>
  <c r="AJ92"/>
  <c r="Z183"/>
  <c r="Z160"/>
  <c r="Z137"/>
  <c r="AA183"/>
  <c r="AA160"/>
  <c r="AA137"/>
  <c r="AB183"/>
  <c r="AB160"/>
  <c r="AB137"/>
  <c r="Y160"/>
  <c r="Y183"/>
  <c r="Y137"/>
  <c r="AC137"/>
  <c r="AH183"/>
  <c r="AH160"/>
  <c r="AH137"/>
  <c r="W160"/>
  <c r="W183"/>
  <c r="W137"/>
  <c r="AE137"/>
  <c r="AJ137"/>
  <c r="Z90"/>
  <c r="Z67"/>
  <c r="Z44"/>
  <c r="AA90"/>
  <c r="AA67"/>
  <c r="AA44"/>
  <c r="AB90"/>
  <c r="AB67"/>
  <c r="AB44"/>
  <c r="Y67"/>
  <c r="Y90"/>
  <c r="Y44"/>
  <c r="AC44"/>
  <c r="AH90"/>
  <c r="AH67"/>
  <c r="AH44"/>
  <c r="W67"/>
  <c r="W90"/>
  <c r="W44"/>
  <c r="AE44"/>
  <c r="AJ44"/>
  <c r="G78"/>
  <c r="G55"/>
  <c r="G32"/>
  <c r="H78"/>
  <c r="H55"/>
  <c r="H32"/>
  <c r="I78"/>
  <c r="I55"/>
  <c r="I32"/>
  <c r="F55"/>
  <c r="F78"/>
  <c r="F32"/>
  <c r="J32"/>
  <c r="O78"/>
  <c r="O55"/>
  <c r="O32"/>
  <c r="D55"/>
  <c r="D78"/>
  <c r="D32"/>
  <c r="L32"/>
  <c r="Q32"/>
  <c r="Y66"/>
  <c r="Z66"/>
  <c r="AA66"/>
  <c r="AB66"/>
  <c r="AC66"/>
  <c r="W66"/>
  <c r="AE66"/>
  <c r="AH66"/>
  <c r="AJ66"/>
  <c r="Z187"/>
  <c r="Z164"/>
  <c r="Z141"/>
  <c r="AA187"/>
  <c r="AA164"/>
  <c r="AA141"/>
  <c r="AB187"/>
  <c r="AB164"/>
  <c r="AB141"/>
  <c r="Y164"/>
  <c r="Y187"/>
  <c r="Y141"/>
  <c r="AC141"/>
  <c r="AH187"/>
  <c r="AH164"/>
  <c r="AH141"/>
  <c r="W164"/>
  <c r="W187"/>
  <c r="W141"/>
  <c r="AE141"/>
  <c r="AJ141"/>
  <c r="F160"/>
  <c r="G160"/>
  <c r="H160"/>
  <c r="I160"/>
  <c r="J160"/>
  <c r="D160"/>
  <c r="L160"/>
  <c r="O160"/>
  <c r="Q160"/>
  <c r="Z86"/>
  <c r="Z63"/>
  <c r="Z40"/>
  <c r="AA86"/>
  <c r="AA63"/>
  <c r="AA40"/>
  <c r="AB86"/>
  <c r="AB63"/>
  <c r="AB40"/>
  <c r="Y63"/>
  <c r="Y86"/>
  <c r="Y40"/>
  <c r="AC40"/>
  <c r="AH86"/>
  <c r="AH63"/>
  <c r="AH40"/>
  <c r="W63"/>
  <c r="W86"/>
  <c r="W40"/>
  <c r="AE40"/>
  <c r="AJ40"/>
  <c r="Z80"/>
  <c r="Z57"/>
  <c r="Z34"/>
  <c r="AA80"/>
  <c r="AA57"/>
  <c r="AA34"/>
  <c r="AB80"/>
  <c r="AB57"/>
  <c r="AB34"/>
  <c r="Y57"/>
  <c r="Y80"/>
  <c r="Y34"/>
  <c r="AC34"/>
  <c r="AH80"/>
  <c r="AH57"/>
  <c r="AH34"/>
  <c r="W57"/>
  <c r="W80"/>
  <c r="W34"/>
  <c r="AE34"/>
  <c r="AJ34"/>
  <c r="G168"/>
  <c r="G145"/>
  <c r="H168"/>
  <c r="H145"/>
  <c r="I168"/>
  <c r="I145"/>
  <c r="F168"/>
  <c r="F145"/>
  <c r="J145"/>
  <c r="O168"/>
  <c r="O145"/>
  <c r="D168"/>
  <c r="D145"/>
  <c r="L145"/>
  <c r="Q145"/>
  <c r="Z85"/>
  <c r="AA85"/>
  <c r="AB85"/>
  <c r="Y85"/>
  <c r="AC85"/>
  <c r="AH85"/>
  <c r="W85"/>
  <c r="AE85"/>
  <c r="AJ85"/>
  <c r="F167"/>
  <c r="G167"/>
  <c r="H167"/>
  <c r="I167"/>
  <c r="J167"/>
  <c r="D167"/>
  <c r="L167"/>
  <c r="O167"/>
  <c r="Q167"/>
  <c r="Y155"/>
  <c r="Z155"/>
  <c r="AA155"/>
  <c r="AB155"/>
  <c r="AC155"/>
  <c r="W155"/>
  <c r="AE155"/>
  <c r="AH155"/>
  <c r="AJ155"/>
  <c r="AC56"/>
  <c r="AE56"/>
  <c r="AJ56"/>
  <c r="F163"/>
  <c r="G163"/>
  <c r="H163"/>
  <c r="I163"/>
  <c r="J163"/>
  <c r="D163"/>
  <c r="L163"/>
  <c r="O163"/>
  <c r="Q163"/>
  <c r="G182"/>
  <c r="H182"/>
  <c r="I182"/>
  <c r="F182"/>
  <c r="J182"/>
  <c r="O182"/>
  <c r="D182"/>
  <c r="L182"/>
  <c r="Q182"/>
  <c r="G81"/>
  <c r="H81"/>
  <c r="I81"/>
  <c r="F81"/>
  <c r="J81"/>
  <c r="O81"/>
  <c r="D81"/>
  <c r="L81"/>
  <c r="Q81"/>
  <c r="Z177"/>
  <c r="AA177"/>
  <c r="AB177"/>
  <c r="Y177"/>
  <c r="AC177"/>
  <c r="AH177"/>
  <c r="W177"/>
  <c r="AE177"/>
  <c r="AJ177"/>
  <c r="Z188"/>
  <c r="AA188"/>
  <c r="AB188"/>
  <c r="Y188"/>
  <c r="AC188"/>
  <c r="AH188"/>
  <c r="W188"/>
  <c r="AE188"/>
  <c r="AJ188"/>
  <c r="G183"/>
  <c r="G137"/>
  <c r="H183"/>
  <c r="H137"/>
  <c r="I183"/>
  <c r="I137"/>
  <c r="F183"/>
  <c r="F137"/>
  <c r="J137"/>
  <c r="O183"/>
  <c r="O137"/>
  <c r="D183"/>
  <c r="D137"/>
  <c r="L137"/>
  <c r="Q137"/>
  <c r="Z69"/>
  <c r="Z46"/>
  <c r="AA69"/>
  <c r="AA46"/>
  <c r="AB69"/>
  <c r="AB46"/>
  <c r="Y69"/>
  <c r="Y46"/>
  <c r="AC46"/>
  <c r="AH69"/>
  <c r="AH46"/>
  <c r="W69"/>
  <c r="W46"/>
  <c r="AE46"/>
  <c r="AJ46"/>
  <c r="Z184"/>
  <c r="Z161"/>
  <c r="Z138"/>
  <c r="AA184"/>
  <c r="AA161"/>
  <c r="AA138"/>
  <c r="AB184"/>
  <c r="AB161"/>
  <c r="AB138"/>
  <c r="Y161"/>
  <c r="Y184"/>
  <c r="Y138"/>
  <c r="AC138"/>
  <c r="AH184"/>
  <c r="AH161"/>
  <c r="AH138"/>
  <c r="W161"/>
  <c r="W184"/>
  <c r="W138"/>
  <c r="AE138"/>
  <c r="AJ138"/>
  <c r="G89"/>
  <c r="H89"/>
  <c r="I89"/>
  <c r="F89"/>
  <c r="J89"/>
  <c r="O89"/>
  <c r="D89"/>
  <c r="L89"/>
  <c r="Q89"/>
  <c r="AC183"/>
  <c r="AE183"/>
  <c r="AJ183"/>
  <c r="G79"/>
  <c r="H79"/>
  <c r="I79"/>
  <c r="F79"/>
  <c r="J79"/>
  <c r="O79"/>
  <c r="D79"/>
  <c r="L79"/>
  <c r="Q79"/>
  <c r="G63"/>
  <c r="G40"/>
  <c r="H63"/>
  <c r="H40"/>
  <c r="I63"/>
  <c r="I40"/>
  <c r="F63"/>
  <c r="F40"/>
  <c r="J40"/>
  <c r="O63"/>
  <c r="O40"/>
  <c r="D63"/>
  <c r="D40"/>
  <c r="L40"/>
  <c r="Q40"/>
  <c r="Z78"/>
  <c r="Z55"/>
  <c r="Z32"/>
  <c r="AA78"/>
  <c r="AA55"/>
  <c r="AA32"/>
  <c r="AB78"/>
  <c r="AB55"/>
  <c r="AB32"/>
  <c r="Y55"/>
  <c r="Y78"/>
  <c r="Y32"/>
  <c r="AC32"/>
  <c r="AH78"/>
  <c r="AH55"/>
  <c r="AH32"/>
  <c r="W55"/>
  <c r="W78"/>
  <c r="W32"/>
  <c r="AE32"/>
  <c r="AJ32"/>
  <c r="G185"/>
  <c r="G139"/>
  <c r="H185"/>
  <c r="H139"/>
  <c r="I185"/>
  <c r="I139"/>
  <c r="F185"/>
  <c r="F139"/>
  <c r="J139"/>
  <c r="O185"/>
  <c r="O139"/>
  <c r="D185"/>
  <c r="D139"/>
  <c r="L139"/>
  <c r="Q139"/>
  <c r="Y59"/>
  <c r="Z59"/>
  <c r="AA59"/>
  <c r="AB59"/>
  <c r="AC59"/>
  <c r="W59"/>
  <c r="AE59"/>
  <c r="AH59"/>
  <c r="AJ59"/>
  <c r="J185"/>
  <c r="L185"/>
  <c r="Q185"/>
  <c r="AC68"/>
  <c r="AE68"/>
  <c r="AJ68"/>
  <c r="G186"/>
  <c r="G140"/>
  <c r="H186"/>
  <c r="H140"/>
  <c r="I186"/>
  <c r="I140"/>
  <c r="F186"/>
  <c r="F140"/>
  <c r="J140"/>
  <c r="O186"/>
  <c r="O140"/>
  <c r="D186"/>
  <c r="D140"/>
  <c r="L140"/>
  <c r="Q140"/>
  <c r="AG121"/>
  <c r="G56"/>
  <c r="G33"/>
  <c r="H56"/>
  <c r="H33"/>
  <c r="I56"/>
  <c r="I33"/>
  <c r="F56"/>
  <c r="F33"/>
  <c r="J33"/>
  <c r="O56"/>
  <c r="O33"/>
  <c r="D56"/>
  <c r="D33"/>
  <c r="L33"/>
  <c r="Q33"/>
  <c r="F60"/>
  <c r="G60"/>
  <c r="H60"/>
  <c r="I60"/>
  <c r="J60"/>
  <c r="D60"/>
  <c r="L60"/>
  <c r="O60"/>
  <c r="Q60"/>
  <c r="J56"/>
  <c r="L56"/>
  <c r="Q56"/>
  <c r="Z88"/>
  <c r="Z65"/>
  <c r="Z42"/>
  <c r="AA88"/>
  <c r="AA65"/>
  <c r="AA42"/>
  <c r="AB88"/>
  <c r="AB65"/>
  <c r="AB42"/>
  <c r="Y65"/>
  <c r="Y88"/>
  <c r="Y42"/>
  <c r="AC42"/>
  <c r="AH88"/>
  <c r="AH65"/>
  <c r="AH42"/>
  <c r="W65"/>
  <c r="W88"/>
  <c r="W42"/>
  <c r="AE42"/>
  <c r="AJ42"/>
  <c r="Z178"/>
  <c r="Z132"/>
  <c r="AA178"/>
  <c r="AA132"/>
  <c r="AB178"/>
  <c r="AB132"/>
  <c r="Y178"/>
  <c r="Y132"/>
  <c r="AC132"/>
  <c r="AH178"/>
  <c r="AH132"/>
  <c r="W178"/>
  <c r="W132"/>
  <c r="AE132"/>
  <c r="AJ132"/>
  <c r="G177"/>
  <c r="H177"/>
  <c r="I177"/>
  <c r="F177"/>
  <c r="J177"/>
  <c r="O177"/>
  <c r="D177"/>
  <c r="L177"/>
  <c r="Q177"/>
  <c r="AC160"/>
  <c r="AE160"/>
  <c r="AJ160"/>
  <c r="AC81"/>
  <c r="AE81"/>
  <c r="AJ81"/>
  <c r="Y154"/>
  <c r="Z154"/>
  <c r="AA154"/>
  <c r="AB154"/>
  <c r="AC154"/>
  <c r="W154"/>
  <c r="AE154"/>
  <c r="AH154"/>
  <c r="AJ154"/>
  <c r="G179"/>
  <c r="H179"/>
  <c r="I179"/>
  <c r="F179"/>
  <c r="J179"/>
  <c r="O179"/>
  <c r="D179"/>
  <c r="L179"/>
  <c r="Q179"/>
  <c r="G84"/>
  <c r="G61"/>
  <c r="G38"/>
  <c r="H84"/>
  <c r="H61"/>
  <c r="H38"/>
  <c r="I84"/>
  <c r="I61"/>
  <c r="I38"/>
  <c r="F61"/>
  <c r="F84"/>
  <c r="F38"/>
  <c r="J38"/>
  <c r="O84"/>
  <c r="O61"/>
  <c r="O38"/>
  <c r="D61"/>
  <c r="D84"/>
  <c r="D38"/>
  <c r="L38"/>
  <c r="Q38"/>
  <c r="G92"/>
  <c r="H92"/>
  <c r="I92"/>
  <c r="F92"/>
  <c r="J92"/>
  <c r="O92"/>
  <c r="D92"/>
  <c r="L92"/>
  <c r="Q92"/>
  <c r="Z82"/>
  <c r="AA82"/>
  <c r="AB82"/>
  <c r="Y82"/>
  <c r="AC82"/>
  <c r="AH82"/>
  <c r="W82"/>
  <c r="AE82"/>
  <c r="AJ82"/>
  <c r="G154"/>
  <c r="G131"/>
  <c r="H154"/>
  <c r="H131"/>
  <c r="I154"/>
  <c r="I131"/>
  <c r="F154"/>
  <c r="F131"/>
  <c r="J131"/>
  <c r="O154"/>
  <c r="O131"/>
  <c r="D154"/>
  <c r="D131"/>
  <c r="L131"/>
  <c r="Q131"/>
  <c r="Z185"/>
  <c r="Z162"/>
  <c r="Z139"/>
  <c r="AA185"/>
  <c r="AA162"/>
  <c r="AA139"/>
  <c r="AB185"/>
  <c r="AB162"/>
  <c r="AB139"/>
  <c r="Y162"/>
  <c r="Y185"/>
  <c r="Y139"/>
  <c r="AC139"/>
  <c r="AH185"/>
  <c r="AH162"/>
  <c r="AH139"/>
  <c r="W162"/>
  <c r="W185"/>
  <c r="W139"/>
  <c r="AE139"/>
  <c r="AJ139"/>
  <c r="F164"/>
  <c r="G164"/>
  <c r="H164"/>
  <c r="I164"/>
  <c r="J164"/>
  <c r="D164"/>
  <c r="L164"/>
  <c r="O164"/>
  <c r="Q164"/>
  <c r="G180"/>
  <c r="G157"/>
  <c r="G134"/>
  <c r="H180"/>
  <c r="H157"/>
  <c r="H134"/>
  <c r="I180"/>
  <c r="I157"/>
  <c r="I134"/>
  <c r="F157"/>
  <c r="F180"/>
  <c r="F134"/>
  <c r="J134"/>
  <c r="O180"/>
  <c r="O157"/>
  <c r="O134"/>
  <c r="D157"/>
  <c r="D180"/>
  <c r="D134"/>
  <c r="L134"/>
  <c r="Q134"/>
  <c r="AC162"/>
  <c r="AE162"/>
  <c r="AJ162"/>
  <c r="G189"/>
  <c r="G166"/>
  <c r="G143"/>
  <c r="H189"/>
  <c r="H166"/>
  <c r="H143"/>
  <c r="I189"/>
  <c r="I166"/>
  <c r="I143"/>
  <c r="F166"/>
  <c r="F189"/>
  <c r="F143"/>
  <c r="J143"/>
  <c r="O189"/>
  <c r="O166"/>
  <c r="O143"/>
  <c r="D166"/>
  <c r="D189"/>
  <c r="D143"/>
  <c r="L143"/>
  <c r="Q143"/>
  <c r="AC55"/>
  <c r="AE55"/>
  <c r="AJ55"/>
  <c r="AC57"/>
  <c r="AE57"/>
  <c r="AJ57"/>
  <c r="G83"/>
  <c r="H83"/>
  <c r="I83"/>
  <c r="F83"/>
  <c r="J83"/>
  <c r="O83"/>
  <c r="D83"/>
  <c r="L83"/>
  <c r="Q83"/>
  <c r="AC86"/>
  <c r="AE86"/>
  <c r="AJ86"/>
  <c r="AC64"/>
  <c r="AE64"/>
  <c r="AJ64"/>
  <c r="AC187"/>
  <c r="AE187"/>
  <c r="AJ187"/>
  <c r="F158"/>
  <c r="G158"/>
  <c r="H158"/>
  <c r="I158"/>
  <c r="J158"/>
  <c r="D158"/>
  <c r="L158"/>
  <c r="O158"/>
  <c r="Q158"/>
  <c r="G187"/>
  <c r="H187"/>
  <c r="I187"/>
  <c r="F187"/>
  <c r="J187"/>
  <c r="O187"/>
  <c r="D187"/>
  <c r="L187"/>
  <c r="Q187"/>
  <c r="F69"/>
  <c r="G69"/>
  <c r="H69"/>
  <c r="I69"/>
  <c r="J69"/>
  <c r="D69"/>
  <c r="L69"/>
  <c r="O69"/>
  <c r="Q69"/>
  <c r="AG20"/>
  <c r="AG119"/>
  <c r="AG120"/>
  <c r="AG21"/>
  <c r="Z163"/>
  <c r="Z140"/>
  <c r="AA163"/>
  <c r="AA140"/>
  <c r="AB163"/>
  <c r="AB140"/>
  <c r="Y163"/>
  <c r="Y140"/>
  <c r="AC140"/>
  <c r="AH163"/>
  <c r="AH140"/>
  <c r="W163"/>
  <c r="W140"/>
  <c r="AE140"/>
  <c r="AJ140"/>
  <c r="Z181"/>
  <c r="Z158"/>
  <c r="Z135"/>
  <c r="AA181"/>
  <c r="AA158"/>
  <c r="AA135"/>
  <c r="AB181"/>
  <c r="AB158"/>
  <c r="AB135"/>
  <c r="Y158"/>
  <c r="Y181"/>
  <c r="Y135"/>
  <c r="AC135"/>
  <c r="AH181"/>
  <c r="AH158"/>
  <c r="AH135"/>
  <c r="W158"/>
  <c r="W181"/>
  <c r="W135"/>
  <c r="AE135"/>
  <c r="AJ135"/>
  <c r="G159"/>
  <c r="G136"/>
  <c r="H159"/>
  <c r="H136"/>
  <c r="I159"/>
  <c r="I136"/>
  <c r="F159"/>
  <c r="F136"/>
  <c r="J136"/>
  <c r="O159"/>
  <c r="O136"/>
  <c r="D159"/>
  <c r="D136"/>
  <c r="L136"/>
  <c r="Q136"/>
  <c r="J63"/>
  <c r="L63"/>
  <c r="Q63"/>
  <c r="J61"/>
  <c r="L61"/>
  <c r="Q61"/>
  <c r="W103"/>
  <c r="W4"/>
  <c r="D103"/>
  <c r="D4"/>
  <c r="N9"/>
  <c r="N108"/>
  <c r="N109"/>
  <c r="N10"/>
  <c r="N11"/>
  <c r="N110"/>
  <c r="N111"/>
  <c r="N12"/>
  <c r="N13"/>
  <c r="N112"/>
  <c r="N14"/>
  <c r="N113"/>
  <c r="N114"/>
  <c r="N15"/>
  <c r="N16"/>
  <c r="N115"/>
  <c r="N116"/>
  <c r="N17"/>
  <c r="N18"/>
  <c r="N117"/>
  <c r="N118"/>
  <c r="N19"/>
  <c r="N20"/>
  <c r="N119"/>
  <c r="N21"/>
  <c r="N120"/>
  <c r="N121"/>
  <c r="N22"/>
  <c r="N122"/>
  <c r="N23"/>
  <c r="AG108"/>
  <c r="AG9"/>
  <c r="AG109"/>
  <c r="AG10"/>
  <c r="AG110"/>
  <c r="AG11"/>
  <c r="AG111"/>
  <c r="AG12"/>
  <c r="AG112"/>
  <c r="AG13"/>
  <c r="AG113"/>
  <c r="AG14"/>
  <c r="AG114"/>
  <c r="AG15"/>
  <c r="AG115"/>
  <c r="AG16"/>
  <c r="AG116"/>
  <c r="AG17"/>
  <c r="AG18"/>
  <c r="AG117"/>
  <c r="AG118"/>
  <c r="AG19"/>
  <c r="Z179"/>
  <c r="Z156"/>
  <c r="Z133"/>
  <c r="AA179"/>
  <c r="AA156"/>
  <c r="AA133"/>
  <c r="AB179"/>
  <c r="AB156"/>
  <c r="AB133"/>
  <c r="Y156"/>
  <c r="Y179"/>
  <c r="Y133"/>
  <c r="AC133"/>
  <c r="AH179"/>
  <c r="AH156"/>
  <c r="AH133"/>
  <c r="W156"/>
  <c r="W179"/>
  <c r="W133"/>
  <c r="AE133"/>
  <c r="AJ133"/>
  <c r="G90"/>
  <c r="G67"/>
  <c r="G44"/>
  <c r="H90"/>
  <c r="H67"/>
  <c r="H44"/>
  <c r="I90"/>
  <c r="I67"/>
  <c r="I44"/>
  <c r="F67"/>
  <c r="F90"/>
  <c r="F44"/>
  <c r="J44"/>
  <c r="O90"/>
  <c r="O67"/>
  <c r="O44"/>
  <c r="D67"/>
  <c r="D90"/>
  <c r="D44"/>
  <c r="L44"/>
  <c r="Q44"/>
  <c r="AC181"/>
  <c r="AE181"/>
  <c r="AJ181"/>
  <c r="J78"/>
  <c r="L78"/>
  <c r="Q78"/>
  <c r="F62"/>
  <c r="G62"/>
  <c r="H62"/>
  <c r="I62"/>
  <c r="J62"/>
  <c r="D62"/>
  <c r="L62"/>
  <c r="O62"/>
  <c r="Q62"/>
  <c r="J154"/>
  <c r="L154"/>
  <c r="Q154"/>
  <c r="Z189"/>
  <c r="Z166"/>
  <c r="Z143"/>
  <c r="AA189"/>
  <c r="AA166"/>
  <c r="AA143"/>
  <c r="AB189"/>
  <c r="AB166"/>
  <c r="AB143"/>
  <c r="Y166"/>
  <c r="Y189"/>
  <c r="Y143"/>
  <c r="AC143"/>
  <c r="AH189"/>
  <c r="AH166"/>
  <c r="AH143"/>
  <c r="W166"/>
  <c r="W189"/>
  <c r="W143"/>
  <c r="AE143"/>
  <c r="AJ143"/>
  <c r="AC189"/>
  <c r="AE189"/>
  <c r="AJ189"/>
  <c r="J159"/>
  <c r="L159"/>
  <c r="Q159"/>
  <c r="F161"/>
  <c r="G161"/>
  <c r="H161"/>
  <c r="I161"/>
  <c r="J161"/>
  <c r="D161"/>
  <c r="L161"/>
  <c r="O161"/>
  <c r="Q161"/>
  <c r="AC87"/>
  <c r="AE87"/>
  <c r="AJ87"/>
  <c r="Z190"/>
  <c r="AA190"/>
  <c r="AB190"/>
  <c r="Y190"/>
  <c r="AC190"/>
  <c r="AH190"/>
  <c r="W190"/>
  <c r="AE190"/>
  <c r="AJ190"/>
  <c r="G178"/>
  <c r="H178"/>
  <c r="I178"/>
  <c r="F178"/>
  <c r="J178"/>
  <c r="O178"/>
  <c r="D178"/>
  <c r="L178"/>
  <c r="Q178"/>
  <c r="J180"/>
  <c r="L180"/>
  <c r="Q180"/>
  <c r="G37"/>
  <c r="H37"/>
  <c r="I37"/>
  <c r="F37"/>
  <c r="J37"/>
  <c r="O37"/>
  <c r="D37"/>
  <c r="L37"/>
  <c r="Q37"/>
  <c r="AG22"/>
  <c r="J55"/>
  <c r="L55"/>
  <c r="Q55"/>
  <c r="Z83"/>
  <c r="AA83"/>
  <c r="AB83"/>
  <c r="Y83"/>
  <c r="AC83"/>
  <c r="AH83"/>
  <c r="W83"/>
  <c r="AE83"/>
  <c r="AJ83"/>
  <c r="Y62"/>
  <c r="Z62"/>
  <c r="AA62"/>
  <c r="AB62"/>
  <c r="AC62"/>
  <c r="W62"/>
  <c r="AE62"/>
  <c r="AH62"/>
  <c r="AJ62"/>
  <c r="AC180"/>
  <c r="AE180"/>
  <c r="AJ180"/>
  <c r="AC157"/>
  <c r="AE157"/>
  <c r="AJ157"/>
  <c r="AC158"/>
  <c r="AE158"/>
  <c r="AJ158"/>
  <c r="AC179"/>
  <c r="AE179"/>
  <c r="AJ179"/>
  <c r="J189"/>
  <c r="L189"/>
  <c r="Q189"/>
  <c r="AG122"/>
  <c r="G91"/>
  <c r="H91"/>
  <c r="I91"/>
  <c r="F91"/>
  <c r="J91"/>
  <c r="O91"/>
  <c r="D91"/>
  <c r="L91"/>
  <c r="Q91"/>
  <c r="F68"/>
  <c r="G68"/>
  <c r="H68"/>
  <c r="I68"/>
  <c r="J68"/>
  <c r="D68"/>
  <c r="L68"/>
  <c r="O68"/>
  <c r="Q68"/>
  <c r="F66"/>
  <c r="G66"/>
  <c r="H66"/>
  <c r="I66"/>
  <c r="J66"/>
  <c r="D66"/>
  <c r="L66"/>
  <c r="O66"/>
  <c r="Q66"/>
  <c r="J64"/>
  <c r="L64"/>
  <c r="Q64"/>
  <c r="Z131"/>
  <c r="AA131"/>
  <c r="AB131"/>
  <c r="Y131"/>
  <c r="AC131"/>
  <c r="AH131"/>
  <c r="W131"/>
  <c r="AE131"/>
  <c r="AJ131"/>
  <c r="AC185"/>
  <c r="AE185"/>
  <c r="AJ185"/>
  <c r="AC178"/>
  <c r="AE178"/>
  <c r="AJ178"/>
  <c r="F156"/>
  <c r="G156"/>
  <c r="H156"/>
  <c r="I156"/>
  <c r="J156"/>
  <c r="D156"/>
  <c r="L156"/>
  <c r="O156"/>
  <c r="Q156"/>
  <c r="G184"/>
  <c r="H184"/>
  <c r="I184"/>
  <c r="F184"/>
  <c r="J184"/>
  <c r="O184"/>
  <c r="D184"/>
  <c r="L184"/>
  <c r="Q184"/>
  <c r="Y168"/>
  <c r="Z168"/>
  <c r="AA168"/>
  <c r="AB168"/>
  <c r="AC168"/>
  <c r="W168"/>
  <c r="AE168"/>
  <c r="AH168"/>
  <c r="AJ168"/>
  <c r="AC164"/>
  <c r="AE164"/>
  <c r="AJ164"/>
  <c r="G82"/>
  <c r="H82"/>
  <c r="I82"/>
  <c r="F82"/>
  <c r="J82"/>
  <c r="O82"/>
  <c r="D82"/>
  <c r="L82"/>
  <c r="Q82"/>
  <c r="J84"/>
  <c r="L84"/>
  <c r="Q84"/>
  <c r="G188"/>
  <c r="H188"/>
  <c r="I188"/>
  <c r="F188"/>
  <c r="J188"/>
  <c r="O188"/>
  <c r="D188"/>
  <c r="L188"/>
  <c r="Q188"/>
  <c r="F58"/>
  <c r="G58"/>
  <c r="H58"/>
  <c r="I58"/>
  <c r="J58"/>
  <c r="D58"/>
  <c r="L58"/>
  <c r="O58"/>
  <c r="Q58"/>
  <c r="AC90"/>
  <c r="AE90"/>
  <c r="AJ90"/>
  <c r="G45"/>
  <c r="H45"/>
  <c r="I45"/>
  <c r="F45"/>
  <c r="J45"/>
  <c r="O45"/>
  <c r="D45"/>
  <c r="L45"/>
  <c r="Q45"/>
  <c r="G181"/>
  <c r="G135"/>
  <c r="H181"/>
  <c r="H135"/>
  <c r="I181"/>
  <c r="I135"/>
  <c r="F181"/>
  <c r="F135"/>
  <c r="J135"/>
  <c r="O181"/>
  <c r="O135"/>
  <c r="D181"/>
  <c r="D135"/>
  <c r="L135"/>
  <c r="Q135"/>
  <c r="J168"/>
  <c r="L168"/>
  <c r="Q168"/>
  <c r="Z89"/>
  <c r="AA89"/>
  <c r="AB89"/>
  <c r="Y89"/>
  <c r="AC89"/>
  <c r="AH89"/>
  <c r="W89"/>
  <c r="AE89"/>
  <c r="AJ89"/>
  <c r="G65"/>
  <c r="G42"/>
  <c r="H65"/>
  <c r="H42"/>
  <c r="I65"/>
  <c r="I42"/>
  <c r="F65"/>
  <c r="F42"/>
  <c r="J42"/>
  <c r="O65"/>
  <c r="O42"/>
  <c r="D65"/>
  <c r="D42"/>
  <c r="L42"/>
  <c r="Q42"/>
  <c r="AC91"/>
  <c r="AE91"/>
  <c r="AJ91"/>
  <c r="G80"/>
  <c r="G57"/>
  <c r="G34"/>
  <c r="H80"/>
  <c r="H57"/>
  <c r="H34"/>
  <c r="I80"/>
  <c r="I57"/>
  <c r="I34"/>
  <c r="F57"/>
  <c r="F80"/>
  <c r="F34"/>
  <c r="J34"/>
  <c r="O80"/>
  <c r="O57"/>
  <c r="O34"/>
  <c r="D57"/>
  <c r="D80"/>
  <c r="D34"/>
  <c r="L34"/>
  <c r="Q34"/>
  <c r="G165"/>
  <c r="G142"/>
  <c r="H165"/>
  <c r="H142"/>
  <c r="I165"/>
  <c r="I142"/>
  <c r="F165"/>
  <c r="F142"/>
  <c r="J142"/>
  <c r="O165"/>
  <c r="O142"/>
  <c r="D165"/>
  <c r="D142"/>
  <c r="L142"/>
  <c r="Q142"/>
  <c r="J65"/>
  <c r="L65"/>
  <c r="Q65"/>
  <c r="AC184"/>
  <c r="AE184"/>
  <c r="AJ184"/>
  <c r="J67"/>
  <c r="L67"/>
  <c r="Q67"/>
  <c r="J181"/>
  <c r="L181"/>
  <c r="Q181"/>
  <c r="J90"/>
  <c r="L90"/>
  <c r="Q90"/>
  <c r="J80"/>
  <c r="L80"/>
  <c r="Q80"/>
  <c r="J87"/>
  <c r="L87"/>
  <c r="Q87"/>
  <c r="AC88"/>
  <c r="AE88"/>
  <c r="AJ88"/>
  <c r="Z191"/>
  <c r="AA191"/>
  <c r="AB191"/>
  <c r="Y191"/>
  <c r="AC191"/>
  <c r="AH191"/>
  <c r="W191"/>
  <c r="AE191"/>
  <c r="AJ191"/>
  <c r="G43"/>
  <c r="H43"/>
  <c r="I43"/>
  <c r="F43"/>
  <c r="J43"/>
  <c r="O43"/>
  <c r="D43"/>
  <c r="L43"/>
  <c r="Q43"/>
  <c r="G46"/>
  <c r="H46"/>
  <c r="I46"/>
  <c r="F46"/>
  <c r="J46"/>
  <c r="O46"/>
  <c r="D46"/>
  <c r="L46"/>
  <c r="Q46"/>
  <c r="G39"/>
  <c r="H39"/>
  <c r="I39"/>
  <c r="F39"/>
  <c r="J39"/>
  <c r="O39"/>
  <c r="D39"/>
  <c r="L39"/>
  <c r="Q39"/>
  <c r="Z43"/>
  <c r="AA43"/>
  <c r="AB43"/>
  <c r="Y43"/>
  <c r="AC43"/>
  <c r="AH43"/>
  <c r="W43"/>
  <c r="AE43"/>
  <c r="AJ43"/>
  <c r="Y167"/>
  <c r="Z167"/>
  <c r="AA167"/>
  <c r="AB167"/>
  <c r="AC167"/>
  <c r="W167"/>
  <c r="AE167"/>
  <c r="AH167"/>
  <c r="AJ167"/>
  <c r="J166"/>
  <c r="L166"/>
  <c r="Q166"/>
  <c r="G133"/>
  <c r="H133"/>
  <c r="I133"/>
  <c r="F133"/>
  <c r="J133"/>
  <c r="O133"/>
  <c r="D133"/>
  <c r="L133"/>
  <c r="Q133"/>
  <c r="G141"/>
  <c r="H141"/>
  <c r="I141"/>
  <c r="F141"/>
  <c r="J141"/>
  <c r="O141"/>
  <c r="D141"/>
  <c r="L141"/>
  <c r="Q141"/>
  <c r="J165"/>
  <c r="L165"/>
  <c r="Q165"/>
  <c r="AC79"/>
  <c r="AE79"/>
  <c r="AJ79"/>
  <c r="J157"/>
  <c r="L157"/>
  <c r="Q157"/>
  <c r="AC58"/>
  <c r="AE58"/>
  <c r="AJ58"/>
  <c r="J186"/>
  <c r="L186"/>
  <c r="Q186"/>
  <c r="AC69"/>
  <c r="AE69"/>
  <c r="AJ69"/>
  <c r="Z165"/>
  <c r="Z142"/>
  <c r="AA165"/>
  <c r="AA142"/>
  <c r="AB165"/>
  <c r="AB142"/>
  <c r="Y165"/>
  <c r="Y142"/>
  <c r="AC142"/>
  <c r="AH165"/>
  <c r="AH142"/>
  <c r="W165"/>
  <c r="W142"/>
  <c r="AE142"/>
  <c r="AJ142"/>
  <c r="G190"/>
  <c r="G144"/>
  <c r="H190"/>
  <c r="H144"/>
  <c r="I190"/>
  <c r="I144"/>
  <c r="F190"/>
  <c r="F144"/>
  <c r="J144"/>
  <c r="O190"/>
  <c r="O144"/>
  <c r="D190"/>
  <c r="D144"/>
  <c r="L144"/>
  <c r="Q144"/>
  <c r="AC165"/>
  <c r="AE165"/>
  <c r="AJ165"/>
  <c r="G155"/>
  <c r="G132"/>
  <c r="H155"/>
  <c r="H132"/>
  <c r="I155"/>
  <c r="I132"/>
  <c r="F155"/>
  <c r="F132"/>
  <c r="J132"/>
  <c r="O155"/>
  <c r="O132"/>
  <c r="D155"/>
  <c r="D132"/>
  <c r="L132"/>
  <c r="Q132"/>
  <c r="J57"/>
  <c r="L57"/>
  <c r="Q57"/>
  <c r="J190"/>
  <c r="L190"/>
  <c r="Q190"/>
  <c r="Z84"/>
  <c r="Z61"/>
  <c r="Z38"/>
  <c r="AA84"/>
  <c r="AA61"/>
  <c r="AA38"/>
  <c r="AB84"/>
  <c r="AB61"/>
  <c r="AB38"/>
  <c r="Y61"/>
  <c r="Y84"/>
  <c r="Y38"/>
  <c r="AC38"/>
  <c r="AH84"/>
  <c r="AH61"/>
  <c r="AH38"/>
  <c r="W61"/>
  <c r="W84"/>
  <c r="W38"/>
  <c r="AE38"/>
  <c r="AJ38"/>
  <c r="AC67"/>
  <c r="AE67"/>
  <c r="AJ67"/>
  <c r="Y159"/>
  <c r="Z159"/>
  <c r="AA159"/>
  <c r="AB159"/>
  <c r="AC159"/>
  <c r="W159"/>
  <c r="AE159"/>
  <c r="AH159"/>
  <c r="AJ159"/>
  <c r="AC166"/>
  <c r="AE166"/>
  <c r="AJ166"/>
  <c r="AC161"/>
  <c r="AE161"/>
  <c r="AJ161"/>
  <c r="AC78"/>
  <c r="AE78"/>
  <c r="AJ78"/>
  <c r="AC80"/>
  <c r="AE80"/>
  <c r="AJ80"/>
  <c r="Z37"/>
  <c r="AA37"/>
  <c r="AB37"/>
  <c r="Y37"/>
  <c r="AC37"/>
  <c r="AH37"/>
  <c r="W37"/>
  <c r="AE37"/>
  <c r="AJ37"/>
  <c r="AC163"/>
  <c r="AE163"/>
  <c r="AJ163"/>
  <c r="G138"/>
  <c r="H138"/>
  <c r="I138"/>
  <c r="F138"/>
  <c r="J138"/>
  <c r="O138"/>
  <c r="D138"/>
  <c r="L138"/>
  <c r="Q138"/>
  <c r="Z36"/>
  <c r="AA36"/>
  <c r="AB36"/>
  <c r="Y36"/>
  <c r="AC36"/>
  <c r="AH36"/>
  <c r="W36"/>
  <c r="AE36"/>
  <c r="AJ36"/>
  <c r="Z144"/>
  <c r="AA144"/>
  <c r="AB144"/>
  <c r="Y144"/>
  <c r="AC144"/>
  <c r="AH144"/>
  <c r="W144"/>
  <c r="AE144"/>
  <c r="AJ144"/>
  <c r="AC61"/>
  <c r="AE61"/>
  <c r="AJ61"/>
  <c r="AC65"/>
  <c r="AE65"/>
  <c r="AJ65"/>
  <c r="Z39"/>
  <c r="AA39"/>
  <c r="AB39"/>
  <c r="Y39"/>
  <c r="AC39"/>
  <c r="AH39"/>
  <c r="W39"/>
  <c r="AE39"/>
  <c r="AJ39"/>
  <c r="AC156"/>
  <c r="AE156"/>
  <c r="AJ156"/>
  <c r="F59"/>
  <c r="G59"/>
  <c r="H59"/>
  <c r="I59"/>
  <c r="J59"/>
  <c r="D59"/>
  <c r="L59"/>
  <c r="O59"/>
  <c r="Q59"/>
  <c r="AC84"/>
  <c r="AE84"/>
  <c r="AJ84"/>
  <c r="J155"/>
  <c r="L155"/>
  <c r="Q155"/>
  <c r="AC63"/>
  <c r="AE63"/>
  <c r="AJ63"/>
  <c r="G36"/>
  <c r="H36"/>
  <c r="I36"/>
  <c r="F36"/>
  <c r="J36"/>
  <c r="O36"/>
  <c r="D36"/>
  <c r="L36"/>
  <c r="Q36"/>
  <c r="AG23"/>
  <c r="Z136"/>
  <c r="AA136"/>
  <c r="AB136"/>
  <c r="Y136"/>
  <c r="AC136"/>
  <c r="AH136"/>
  <c r="W136"/>
  <c r="AE136"/>
  <c r="AJ136"/>
  <c r="G35"/>
  <c r="H35"/>
  <c r="I35"/>
  <c r="F35"/>
  <c r="J35"/>
  <c r="O35"/>
  <c r="D35"/>
  <c r="L35"/>
  <c r="Q35"/>
  <c r="J183"/>
  <c r="L183"/>
  <c r="Q183"/>
  <c r="Z145"/>
  <c r="AA145"/>
  <c r="AB145"/>
  <c r="Y145"/>
  <c r="AC145"/>
  <c r="AH145"/>
  <c r="W145"/>
  <c r="AE145"/>
  <c r="AJ145"/>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N23"/>
  <c r="U22"/>
  <c r="G21"/>
  <c r="L21"/>
  <c r="V4"/>
  <c r="V5"/>
  <c r="V6"/>
  <c r="S6"/>
  <c r="K6"/>
  <c r="E6"/>
  <c r="H6"/>
  <c r="F6"/>
  <c r="I6"/>
  <c r="J6"/>
  <c r="Q6"/>
  <c r="P6"/>
  <c r="O6"/>
  <c r="N6"/>
  <c r="L6"/>
  <c r="R6"/>
  <c r="M6"/>
  <c r="G6"/>
  <c r="U6"/>
  <c r="D6"/>
  <c r="T6"/>
  <c r="V7"/>
  <c r="S7"/>
  <c r="K7"/>
  <c r="E7"/>
  <c r="H7"/>
  <c r="F7"/>
  <c r="I7"/>
  <c r="J7"/>
  <c r="Q7"/>
  <c r="P7"/>
  <c r="O7"/>
  <c r="N7"/>
  <c r="L7"/>
  <c r="R7"/>
  <c r="M7"/>
  <c r="G7"/>
  <c r="U7"/>
  <c r="D7"/>
  <c r="T7"/>
  <c r="V8"/>
  <c r="V9"/>
  <c r="S9"/>
  <c r="K9"/>
  <c r="E9"/>
  <c r="H9"/>
  <c r="F9"/>
  <c r="I9"/>
  <c r="J9"/>
  <c r="Q9"/>
  <c r="P9"/>
  <c r="O9"/>
  <c r="N9"/>
  <c r="L9"/>
  <c r="R9"/>
  <c r="M9"/>
  <c r="G9"/>
  <c r="U9"/>
  <c r="D9"/>
  <c r="T9"/>
  <c r="V10"/>
  <c r="V11"/>
  <c r="V12"/>
  <c r="V13"/>
  <c r="V14"/>
  <c r="V15"/>
  <c r="V16"/>
  <c r="S16"/>
  <c r="K16"/>
  <c r="E16"/>
  <c r="H16"/>
  <c r="F16"/>
  <c r="I16"/>
  <c r="J16"/>
  <c r="Q16"/>
  <c r="P16"/>
  <c r="O16"/>
  <c r="N16"/>
  <c r="L16"/>
  <c r="R16"/>
  <c r="M16"/>
  <c r="G16"/>
  <c r="U16"/>
  <c r="D16"/>
  <c r="T16"/>
  <c r="V17"/>
  <c r="S17"/>
  <c r="K17"/>
  <c r="E17"/>
  <c r="H17"/>
  <c r="F17"/>
  <c r="I17"/>
  <c r="J17"/>
  <c r="Q17"/>
  <c r="P17"/>
  <c r="O17"/>
  <c r="N17"/>
  <c r="L17"/>
  <c r="R17"/>
  <c r="M17"/>
  <c r="G17"/>
  <c r="U17"/>
  <c r="D17"/>
  <c r="T17"/>
  <c r="V18"/>
  <c r="S18"/>
  <c r="K18"/>
  <c r="E18"/>
  <c r="H18"/>
  <c r="F18"/>
  <c r="I18"/>
  <c r="J18"/>
  <c r="Q18"/>
  <c r="P18"/>
  <c r="O18"/>
  <c r="N18"/>
  <c r="L18"/>
  <c r="R18"/>
  <c r="M18"/>
  <c r="G18"/>
  <c r="U18"/>
  <c r="D18"/>
  <c r="T18"/>
  <c r="V24"/>
  <c r="A2"/>
  <c r="A31"/>
  <c r="V33"/>
  <c r="V36"/>
  <c r="V37"/>
  <c r="F37"/>
  <c r="O37"/>
  <c r="L37"/>
  <c r="E37"/>
  <c r="Q37"/>
  <c r="K37"/>
  <c r="I37"/>
  <c r="P37"/>
  <c r="S37"/>
  <c r="R37"/>
  <c r="G37"/>
  <c r="M37"/>
  <c r="N37"/>
  <c r="J37"/>
  <c r="H37"/>
  <c r="U37"/>
  <c r="D37"/>
  <c r="T37"/>
  <c r="V38"/>
  <c r="V39"/>
  <c r="V40"/>
  <c r="V41"/>
  <c r="V42"/>
  <c r="F42"/>
  <c r="O42"/>
  <c r="L42"/>
  <c r="E42"/>
  <c r="Q42"/>
  <c r="K42"/>
  <c r="I42"/>
  <c r="P42"/>
  <c r="S42"/>
  <c r="R42"/>
  <c r="G42"/>
  <c r="M42"/>
  <c r="N42"/>
  <c r="J42"/>
  <c r="H42"/>
  <c r="U42"/>
  <c r="D42"/>
  <c r="T42"/>
  <c r="V43"/>
  <c r="V44"/>
  <c r="F44"/>
  <c r="O44"/>
  <c r="L44"/>
  <c r="E44"/>
  <c r="Q44"/>
  <c r="K44"/>
  <c r="I44"/>
  <c r="P44"/>
  <c r="S44"/>
  <c r="R44"/>
  <c r="G44"/>
  <c r="M44"/>
  <c r="N44"/>
  <c r="J44"/>
  <c r="H44"/>
  <c r="U44"/>
  <c r="D44"/>
  <c r="T44"/>
  <c r="V45"/>
  <c r="V46"/>
  <c r="F46"/>
  <c r="O46"/>
  <c r="L46"/>
  <c r="E46"/>
  <c r="Q46"/>
  <c r="K46"/>
  <c r="I46"/>
  <c r="P46"/>
  <c r="S46"/>
  <c r="R46"/>
  <c r="G46"/>
  <c r="M46"/>
  <c r="N46"/>
  <c r="J46"/>
  <c r="H46"/>
  <c r="U46"/>
  <c r="D46"/>
  <c r="T46"/>
  <c r="V47"/>
  <c r="F47"/>
  <c r="O47"/>
  <c r="L47"/>
  <c r="E47"/>
  <c r="Q47"/>
  <c r="K47"/>
  <c r="I47"/>
  <c r="P47"/>
  <c r="S47"/>
  <c r="R47"/>
  <c r="G47"/>
  <c r="M47"/>
  <c r="N47"/>
  <c r="J47"/>
  <c r="H47"/>
  <c r="U47"/>
  <c r="D47"/>
  <c r="T47"/>
  <c r="S8"/>
  <c r="K8"/>
  <c r="E8"/>
  <c r="H8"/>
  <c r="F8"/>
  <c r="I8"/>
  <c r="J8"/>
  <c r="Q8"/>
  <c r="P8"/>
  <c r="O8"/>
  <c r="N8"/>
  <c r="L8"/>
  <c r="R8"/>
  <c r="M8"/>
  <c r="G8"/>
  <c r="U8"/>
  <c r="D8"/>
  <c r="T8"/>
  <c r="S11"/>
  <c r="K11"/>
  <c r="E11"/>
  <c r="H11"/>
  <c r="F11"/>
  <c r="I11"/>
  <c r="J11"/>
  <c r="Q11"/>
  <c r="P11"/>
  <c r="O11"/>
  <c r="N11"/>
  <c r="L11"/>
  <c r="R11"/>
  <c r="M11"/>
  <c r="G11"/>
  <c r="U11"/>
  <c r="D11"/>
  <c r="T11"/>
  <c r="S5"/>
  <c r="K5"/>
  <c r="E5"/>
  <c r="H5"/>
  <c r="F5"/>
  <c r="I5"/>
  <c r="J5"/>
  <c r="Q5"/>
  <c r="P5"/>
  <c r="O5"/>
  <c r="N5"/>
  <c r="L5"/>
  <c r="R5"/>
  <c r="M5"/>
  <c r="G5"/>
  <c r="U5"/>
  <c r="D5"/>
  <c r="T5"/>
  <c r="E12"/>
  <c r="F12"/>
  <c r="G12"/>
  <c r="H12"/>
  <c r="I12"/>
  <c r="J12"/>
  <c r="K12"/>
  <c r="L12"/>
  <c r="M12"/>
  <c r="N12"/>
  <c r="O12"/>
  <c r="P12"/>
  <c r="Q12"/>
  <c r="R12"/>
  <c r="S12"/>
  <c r="D12"/>
  <c r="T12"/>
  <c r="U12"/>
  <c r="U13"/>
  <c r="S13"/>
  <c r="K13"/>
  <c r="E13"/>
  <c r="H13"/>
  <c r="F13"/>
  <c r="I13"/>
  <c r="J13"/>
  <c r="Q13"/>
  <c r="P13"/>
  <c r="O13"/>
  <c r="N13"/>
  <c r="L13"/>
  <c r="R13"/>
  <c r="M13"/>
  <c r="G13"/>
  <c r="D13"/>
  <c r="T13"/>
  <c r="S14"/>
  <c r="K14"/>
  <c r="E14"/>
  <c r="H14"/>
  <c r="F14"/>
  <c r="I14"/>
  <c r="J14"/>
  <c r="Q14"/>
  <c r="P14"/>
  <c r="O14"/>
  <c r="N14"/>
  <c r="L14"/>
  <c r="R14"/>
  <c r="M14"/>
  <c r="G14"/>
  <c r="U14"/>
  <c r="D14"/>
  <c r="T14"/>
  <c r="E15"/>
  <c r="F15"/>
  <c r="G15"/>
  <c r="H15"/>
  <c r="I15"/>
  <c r="J15"/>
  <c r="K15"/>
  <c r="L15"/>
  <c r="M15"/>
  <c r="N15"/>
  <c r="O15"/>
  <c r="P15"/>
  <c r="Q15"/>
  <c r="R15"/>
  <c r="S15"/>
  <c r="D15"/>
  <c r="T15"/>
  <c r="U15"/>
  <c r="J38"/>
  <c r="N38"/>
  <c r="M38"/>
  <c r="G38"/>
  <c r="R38"/>
  <c r="S38"/>
  <c r="P38"/>
  <c r="I38"/>
  <c r="K38"/>
  <c r="Q38"/>
  <c r="E38"/>
  <c r="L38"/>
  <c r="O38"/>
  <c r="F38"/>
  <c r="H38"/>
  <c r="D38"/>
  <c r="T38"/>
  <c r="U38"/>
  <c r="J43"/>
  <c r="N43"/>
  <c r="M43"/>
  <c r="G43"/>
  <c r="R43"/>
  <c r="S43"/>
  <c r="P43"/>
  <c r="I43"/>
  <c r="K43"/>
  <c r="Q43"/>
  <c r="E43"/>
  <c r="L43"/>
  <c r="O43"/>
  <c r="F43"/>
  <c r="H43"/>
  <c r="D43"/>
  <c r="T43"/>
  <c r="U43"/>
  <c r="U39"/>
  <c r="R39"/>
  <c r="E39"/>
  <c r="F39"/>
  <c r="G39"/>
  <c r="H39"/>
  <c r="I39"/>
  <c r="J39"/>
  <c r="K39"/>
  <c r="L39"/>
  <c r="M39"/>
  <c r="N39"/>
  <c r="O39"/>
  <c r="P39"/>
  <c r="Q39"/>
  <c r="S39"/>
  <c r="D39"/>
  <c r="T39"/>
  <c r="H40"/>
  <c r="F40"/>
  <c r="O40"/>
  <c r="L40"/>
  <c r="E40"/>
  <c r="Q40"/>
  <c r="K40"/>
  <c r="I40"/>
  <c r="P40"/>
  <c r="S40"/>
  <c r="G40"/>
  <c r="M40"/>
  <c r="N40"/>
  <c r="J40"/>
  <c r="U40"/>
  <c r="R40"/>
  <c r="D40"/>
  <c r="T40"/>
  <c r="R41"/>
  <c r="E41"/>
  <c r="F41"/>
  <c r="G41"/>
  <c r="H41"/>
  <c r="I41"/>
  <c r="J41"/>
  <c r="K41"/>
  <c r="L41"/>
  <c r="M41"/>
  <c r="N41"/>
  <c r="O41"/>
  <c r="P41"/>
  <c r="Q41"/>
  <c r="S41"/>
  <c r="D41"/>
  <c r="T41"/>
  <c r="U41"/>
  <c r="R45"/>
  <c r="E45"/>
  <c r="F45"/>
  <c r="G45"/>
  <c r="H45"/>
  <c r="I45"/>
  <c r="J45"/>
  <c r="K45"/>
  <c r="L45"/>
  <c r="M45"/>
  <c r="N45"/>
  <c r="O45"/>
  <c r="P45"/>
  <c r="Q45"/>
  <c r="S45"/>
  <c r="D45"/>
  <c r="T45"/>
  <c r="U45"/>
  <c r="V34"/>
  <c r="R34"/>
  <c r="E34"/>
  <c r="F34"/>
  <c r="G34"/>
  <c r="H34"/>
  <c r="I34"/>
  <c r="J34"/>
  <c r="K34"/>
  <c r="L34"/>
  <c r="M34"/>
  <c r="N34"/>
  <c r="O34"/>
  <c r="P34"/>
  <c r="Q34"/>
  <c r="S34"/>
  <c r="D34"/>
  <c r="T34"/>
  <c r="U34"/>
  <c r="E36"/>
  <c r="F36"/>
  <c r="G36"/>
  <c r="H36"/>
  <c r="I36"/>
  <c r="J36"/>
  <c r="K36"/>
  <c r="L36"/>
  <c r="M36"/>
  <c r="N36"/>
  <c r="O36"/>
  <c r="P36"/>
  <c r="Q36"/>
  <c r="R36"/>
  <c r="S36"/>
  <c r="D36"/>
  <c r="T36"/>
  <c r="U36"/>
  <c r="X11"/>
  <c r="Y11"/>
  <c r="X14"/>
  <c r="Y14"/>
  <c r="X16"/>
  <c r="Y16"/>
  <c r="X17"/>
  <c r="Y17"/>
  <c r="X5"/>
  <c r="Y5"/>
  <c r="X18"/>
  <c r="Y18"/>
  <c r="X4"/>
  <c r="X6"/>
  <c r="X7"/>
  <c r="X8"/>
  <c r="X9"/>
  <c r="X10"/>
  <c r="X12"/>
  <c r="X13"/>
  <c r="X15"/>
  <c r="X24"/>
  <c r="Y12"/>
  <c r="Y13"/>
  <c r="Y15"/>
  <c r="Y6"/>
  <c r="Y7"/>
  <c r="Y8"/>
  <c r="Y9"/>
  <c r="V35"/>
  <c r="V53"/>
  <c r="E35"/>
  <c r="F35"/>
  <c r="G35"/>
  <c r="H35"/>
  <c r="I35"/>
  <c r="J35"/>
  <c r="K35"/>
  <c r="L35"/>
  <c r="M35"/>
  <c r="N35"/>
  <c r="O35"/>
  <c r="P35"/>
  <c r="Q35"/>
  <c r="R35"/>
  <c r="S35"/>
  <c r="D35"/>
  <c r="T35"/>
  <c r="D33"/>
  <c r="E33"/>
  <c r="F33"/>
  <c r="G33"/>
  <c r="H33"/>
  <c r="I33"/>
  <c r="J33"/>
  <c r="K33"/>
  <c r="L33"/>
  <c r="M33"/>
  <c r="N33"/>
  <c r="O33"/>
  <c r="P33"/>
  <c r="Q33"/>
  <c r="R33"/>
  <c r="S33"/>
  <c r="T33"/>
  <c r="T56"/>
  <c r="J57"/>
  <c r="U35"/>
  <c r="U33"/>
  <c r="U56"/>
  <c r="H56"/>
  <c r="F56"/>
  <c r="O56"/>
  <c r="L56"/>
  <c r="E56"/>
  <c r="Q56"/>
  <c r="K56"/>
  <c r="I56"/>
  <c r="P56"/>
  <c r="D56"/>
  <c r="S56"/>
  <c r="G56"/>
  <c r="M56"/>
  <c r="N56"/>
  <c r="J56"/>
  <c r="R56"/>
  <c r="X34"/>
  <c r="Y34"/>
  <c r="X36"/>
  <c r="Y36"/>
  <c r="X41"/>
  <c r="Y41"/>
  <c r="X42"/>
  <c r="Y42"/>
  <c r="X44"/>
  <c r="Y44"/>
  <c r="X45"/>
  <c r="Y45"/>
  <c r="X37"/>
  <c r="Y37"/>
  <c r="X38"/>
  <c r="Y38"/>
  <c r="X46"/>
  <c r="Y46"/>
  <c r="X47"/>
  <c r="Y47"/>
  <c r="X43"/>
  <c r="Y43"/>
  <c r="X39"/>
  <c r="Y39"/>
  <c r="X40"/>
  <c r="Y40"/>
  <c r="X33"/>
  <c r="X35"/>
  <c r="X53"/>
  <c r="Y35"/>
  <c r="Y33"/>
  <c r="Y53"/>
  <c r="U10"/>
  <c r="U4"/>
  <c r="U27"/>
  <c r="U57"/>
  <c r="U28"/>
  <c r="E10"/>
  <c r="F10"/>
  <c r="G10"/>
  <c r="H10"/>
  <c r="I10"/>
  <c r="J10"/>
  <c r="K10"/>
  <c r="L10"/>
  <c r="M10"/>
  <c r="N10"/>
  <c r="O10"/>
  <c r="P10"/>
  <c r="Q10"/>
  <c r="R10"/>
  <c r="S10"/>
  <c r="D10"/>
  <c r="T10"/>
  <c r="D4"/>
  <c r="E4"/>
  <c r="F4"/>
  <c r="G4"/>
  <c r="H4"/>
  <c r="I4"/>
  <c r="J4"/>
  <c r="K4"/>
  <c r="L4"/>
  <c r="M4"/>
  <c r="N4"/>
  <c r="O4"/>
  <c r="P4"/>
  <c r="Q4"/>
  <c r="R4"/>
  <c r="S4"/>
  <c r="T4"/>
  <c r="T27"/>
  <c r="R28"/>
  <c r="R57"/>
  <c r="J28"/>
  <c r="J29"/>
  <c r="J58"/>
  <c r="Y10"/>
  <c r="Y4"/>
  <c r="Y24"/>
  <c r="G27"/>
  <c r="M27"/>
  <c r="R27"/>
  <c r="L27"/>
  <c r="N27"/>
  <c r="O27"/>
  <c r="P27"/>
  <c r="Q27"/>
  <c r="J27"/>
  <c r="I27"/>
  <c r="F27"/>
  <c r="H27"/>
  <c r="E27"/>
  <c r="K27"/>
  <c r="D27"/>
  <c r="S27"/>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J124"/>
  <c r="AJ118"/>
  <c r="AK118"/>
  <c r="AJ120"/>
  <c r="AK120"/>
  <c r="AK122"/>
  <c r="AK124"/>
  <c r="AJ126"/>
  <c r="AK126"/>
  <c r="AK128"/>
  <c r="AK130"/>
  <c r="AJ128"/>
  <c r="AJ122"/>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R120"/>
  <c r="R122"/>
  <c r="R124"/>
  <c r="R126"/>
  <c r="R128"/>
  <c r="R13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32"/>
  <c r="R136"/>
  <c r="R140"/>
  <c r="R144"/>
  <c r="R164"/>
  <c r="R94"/>
  <c r="R102"/>
  <c r="R106"/>
  <c r="R110"/>
  <c r="R118"/>
  <c r="R134"/>
  <c r="R138"/>
  <c r="R142"/>
  <c r="G166"/>
  <c r="AK80"/>
  <c r="AK89"/>
  <c r="AK90"/>
  <c r="AK92"/>
  <c r="AK94"/>
  <c r="AK96"/>
  <c r="AK98"/>
  <c r="AK100"/>
  <c r="AK102"/>
  <c r="AK104"/>
  <c r="AK106"/>
  <c r="AK108"/>
  <c r="AK166"/>
  <c r="Z166"/>
  <c r="Z80"/>
  <c r="R90"/>
  <c r="AJ166"/>
  <c r="Q80"/>
  <c r="R166"/>
  <c r="G80"/>
  <c r="E166"/>
  <c r="D166"/>
  <c r="F166"/>
  <c r="C166"/>
  <c r="V80"/>
  <c r="W80"/>
  <c r="X80"/>
  <c r="Y80"/>
  <c r="C80"/>
  <c r="F80"/>
  <c r="E80"/>
  <c r="D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212"/>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90"/>
  <c r="F92"/>
  <c r="I92"/>
  <c r="I94"/>
  <c r="I96"/>
  <c r="I98"/>
  <c r="D100"/>
  <c r="D101"/>
  <c r="E100"/>
  <c r="R100"/>
  <c r="T100"/>
  <c r="R101"/>
  <c r="T101"/>
  <c r="U100"/>
  <c r="F100"/>
  <c r="I100"/>
  <c r="I102"/>
  <c r="D104"/>
  <c r="D105"/>
  <c r="E104"/>
  <c r="R104"/>
  <c r="T104"/>
  <c r="R105"/>
  <c r="T105"/>
  <c r="U104"/>
  <c r="F104"/>
  <c r="I104"/>
  <c r="I106"/>
  <c r="D108"/>
  <c r="D109"/>
  <c r="E108"/>
  <c r="R108"/>
  <c r="T108"/>
  <c r="R109"/>
  <c r="T109"/>
  <c r="U108"/>
  <c r="F108"/>
  <c r="I108"/>
  <c r="I110"/>
  <c r="D112"/>
  <c r="D113"/>
  <c r="E112"/>
  <c r="R112"/>
  <c r="T112"/>
  <c r="R113"/>
  <c r="T113"/>
  <c r="U112"/>
  <c r="F112"/>
  <c r="I112"/>
  <c r="D114"/>
  <c r="D115"/>
  <c r="E114"/>
  <c r="R114"/>
  <c r="T114"/>
  <c r="R115"/>
  <c r="T115"/>
  <c r="U114"/>
  <c r="F114"/>
  <c r="I114"/>
  <c r="I116"/>
  <c r="D118"/>
  <c r="D119"/>
  <c r="E118"/>
  <c r="R118"/>
  <c r="T118"/>
  <c r="R119"/>
  <c r="T119"/>
  <c r="U118"/>
  <c r="F118"/>
  <c r="I118"/>
  <c r="I120"/>
  <c r="I122"/>
  <c r="I124"/>
  <c r="I126"/>
  <c r="I128"/>
  <c r="I130"/>
  <c r="I132"/>
  <c r="I134"/>
  <c r="I136"/>
  <c r="I138"/>
  <c r="I140"/>
  <c r="I142"/>
  <c r="I144"/>
  <c r="I146"/>
  <c r="I148"/>
  <c r="I150"/>
  <c r="I152"/>
  <c r="I154"/>
  <c r="I156"/>
  <c r="I158"/>
  <c r="I160"/>
  <c r="I162"/>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U218"/>
  <c r="S90"/>
  <c r="S91"/>
  <c r="S93"/>
  <c r="R95"/>
  <c r="S95"/>
  <c r="R96"/>
  <c r="S96"/>
  <c r="R97"/>
  <c r="S97"/>
  <c r="R98"/>
  <c r="S98"/>
  <c r="R99"/>
  <c r="S99"/>
  <c r="S100"/>
  <c r="S101"/>
  <c r="R102"/>
  <c r="S102"/>
  <c r="R103"/>
  <c r="S103"/>
  <c r="S104"/>
  <c r="S105"/>
  <c r="R106"/>
  <c r="S106"/>
  <c r="R107"/>
  <c r="S107"/>
  <c r="S108"/>
  <c r="S109"/>
  <c r="R110"/>
  <c r="S110"/>
  <c r="R111"/>
  <c r="S111"/>
  <c r="S112"/>
  <c r="S113"/>
  <c r="S114"/>
  <c r="S115"/>
  <c r="R116"/>
  <c r="S116"/>
  <c r="R117"/>
  <c r="S117"/>
  <c r="S118"/>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T94"/>
  <c r="T95"/>
  <c r="U94"/>
  <c r="D94"/>
  <c r="D95"/>
  <c r="E94"/>
  <c r="V94"/>
  <c r="T96"/>
  <c r="T97"/>
  <c r="U96"/>
  <c r="D96"/>
  <c r="D97"/>
  <c r="E96"/>
  <c r="V96"/>
  <c r="T98"/>
  <c r="T99"/>
  <c r="U98"/>
  <c r="D98"/>
  <c r="D99"/>
  <c r="E98"/>
  <c r="V98"/>
  <c r="V100"/>
  <c r="T102"/>
  <c r="T103"/>
  <c r="U102"/>
  <c r="D102"/>
  <c r="D103"/>
  <c r="E102"/>
  <c r="V102"/>
  <c r="V104"/>
  <c r="T106"/>
  <c r="T107"/>
  <c r="U106"/>
  <c r="D106"/>
  <c r="D107"/>
  <c r="E106"/>
  <c r="V106"/>
  <c r="V108"/>
  <c r="T110"/>
  <c r="T111"/>
  <c r="U110"/>
  <c r="D110"/>
  <c r="D111"/>
  <c r="E110"/>
  <c r="V110"/>
  <c r="V112"/>
  <c r="V114"/>
  <c r="T116"/>
  <c r="T117"/>
  <c r="U116"/>
  <c r="D116"/>
  <c r="D117"/>
  <c r="E116"/>
  <c r="V116"/>
  <c r="V118"/>
  <c r="T120"/>
  <c r="T121"/>
  <c r="U120"/>
  <c r="D120"/>
  <c r="D121"/>
  <c r="E120"/>
  <c r="V120"/>
  <c r="T122"/>
  <c r="T123"/>
  <c r="U122"/>
  <c r="D122"/>
  <c r="D123"/>
  <c r="E122"/>
  <c r="V122"/>
  <c r="T124"/>
  <c r="T125"/>
  <c r="U124"/>
  <c r="D124"/>
  <c r="D125"/>
  <c r="E124"/>
  <c r="V124"/>
  <c r="T126"/>
  <c r="T127"/>
  <c r="U126"/>
  <c r="D126"/>
  <c r="D127"/>
  <c r="E126"/>
  <c r="V126"/>
  <c r="V128"/>
  <c r="V130"/>
  <c r="V132"/>
  <c r="V134"/>
  <c r="V136"/>
  <c r="V138"/>
  <c r="V140"/>
  <c r="V142"/>
  <c r="V144"/>
  <c r="V146"/>
  <c r="V148"/>
  <c r="V150"/>
  <c r="V152"/>
  <c r="V154"/>
  <c r="V156"/>
  <c r="V158"/>
  <c r="V160"/>
  <c r="V16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206"/>
  <c r="U196"/>
  <c r="W196"/>
  <c r="U199"/>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3"/>
  <c r="F5"/>
  <c r="I5"/>
  <c r="E7"/>
  <c r="T7"/>
  <c r="T8"/>
  <c r="U7"/>
  <c r="F7"/>
  <c r="I7"/>
  <c r="E9"/>
  <c r="T9"/>
  <c r="T10"/>
  <c r="U9"/>
  <c r="F9"/>
  <c r="I9"/>
  <c r="E11"/>
  <c r="T11"/>
  <c r="T12"/>
  <c r="U11"/>
  <c r="F11"/>
  <c r="I11"/>
  <c r="I13"/>
  <c r="I15"/>
  <c r="E17"/>
  <c r="T17"/>
  <c r="T18"/>
  <c r="U17"/>
  <c r="F17"/>
  <c r="I17"/>
  <c r="E19"/>
  <c r="T19"/>
  <c r="T20"/>
  <c r="U19"/>
  <c r="F19"/>
  <c r="I19"/>
  <c r="I21"/>
  <c r="I23"/>
  <c r="I25"/>
  <c r="I27"/>
  <c r="I29"/>
  <c r="E31"/>
  <c r="T31"/>
  <c r="T32"/>
  <c r="U31"/>
  <c r="F31"/>
  <c r="I31"/>
  <c r="E33"/>
  <c r="T33"/>
  <c r="T34"/>
  <c r="U33"/>
  <c r="F33"/>
  <c r="I33"/>
  <c r="E35"/>
  <c r="T35"/>
  <c r="T36"/>
  <c r="U35"/>
  <c r="F35"/>
  <c r="I35"/>
  <c r="I37"/>
  <c r="E39"/>
  <c r="T39"/>
  <c r="T40"/>
  <c r="U39"/>
  <c r="F39"/>
  <c r="I39"/>
  <c r="E41"/>
  <c r="T41"/>
  <c r="T42"/>
  <c r="U41"/>
  <c r="F41"/>
  <c r="I41"/>
  <c r="E43"/>
  <c r="T43"/>
  <c r="T44"/>
  <c r="U43"/>
  <c r="F43"/>
  <c r="I43"/>
  <c r="E45"/>
  <c r="T45"/>
  <c r="T46"/>
  <c r="U45"/>
  <c r="F45"/>
  <c r="I45"/>
  <c r="E47"/>
  <c r="T47"/>
  <c r="T48"/>
  <c r="U47"/>
  <c r="F47"/>
  <c r="I47"/>
  <c r="E49"/>
  <c r="T49"/>
  <c r="T50"/>
  <c r="U49"/>
  <c r="F49"/>
  <c r="I49"/>
  <c r="I51"/>
  <c r="I53"/>
  <c r="I55"/>
  <c r="I57"/>
  <c r="I59"/>
  <c r="I61"/>
  <c r="I63"/>
  <c r="I65"/>
  <c r="I67"/>
  <c r="I69"/>
  <c r="I71"/>
  <c r="I73"/>
  <c r="I75"/>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F116"/>
  <c r="F124"/>
  <c r="F197"/>
  <c r="E219"/>
  <c r="D211"/>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97"/>
  <c r="F211"/>
  <c r="G21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I197"/>
  <c r="K214"/>
  <c r="H214"/>
  <c r="L214"/>
  <c r="G214"/>
  <c r="I214"/>
  <c r="I216"/>
  <c r="M214"/>
  <c r="D214"/>
  <c r="J214"/>
  <c r="F214"/>
  <c r="E216"/>
  <c r="K205"/>
  <c r="G3"/>
  <c r="G5"/>
  <c r="G7"/>
  <c r="G9"/>
  <c r="G11"/>
  <c r="G13"/>
  <c r="G15"/>
  <c r="G17"/>
  <c r="G19"/>
  <c r="G21"/>
  <c r="G23"/>
  <c r="G25"/>
  <c r="G27"/>
  <c r="G29"/>
  <c r="G31"/>
  <c r="G33"/>
  <c r="G35"/>
  <c r="G37"/>
  <c r="G39"/>
  <c r="G41"/>
  <c r="G43"/>
  <c r="G45"/>
  <c r="G47"/>
  <c r="G49"/>
  <c r="G51"/>
  <c r="G53"/>
  <c r="G55"/>
  <c r="G57"/>
  <c r="G59"/>
  <c r="G61"/>
  <c r="G63"/>
  <c r="G65"/>
  <c r="G67"/>
  <c r="G69"/>
  <c r="G71"/>
  <c r="G73"/>
  <c r="G75"/>
  <c r="G77"/>
  <c r="G205"/>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209"/>
  <c r="E207"/>
  <c r="H197"/>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I208"/>
  <c r="F3"/>
  <c r="E15"/>
  <c r="T15"/>
  <c r="T16"/>
  <c r="U15"/>
  <c r="F15"/>
  <c r="F208"/>
  <c r="E210"/>
  <c r="I203"/>
  <c r="H203"/>
  <c r="G206"/>
  <c r="I206"/>
  <c r="M206"/>
  <c r="H206"/>
  <c r="J206"/>
  <c r="L206"/>
  <c r="D206"/>
  <c r="D207"/>
  <c r="K206"/>
  <c r="F94"/>
  <c r="F120"/>
  <c r="F122"/>
  <c r="F206"/>
  <c r="E201"/>
  <c r="L199"/>
  <c r="D199"/>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99"/>
  <c r="E13"/>
  <c r="T13"/>
  <c r="T14"/>
  <c r="U13"/>
  <c r="F13"/>
  <c r="E21"/>
  <c r="T21"/>
  <c r="T22"/>
  <c r="U21"/>
  <c r="F21"/>
  <c r="E37"/>
  <c r="T37"/>
  <c r="T38"/>
  <c r="U37"/>
  <c r="F37"/>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V13"/>
  <c r="Y13"/>
  <c r="V15"/>
  <c r="Y15"/>
  <c r="Y17"/>
  <c r="Y19"/>
  <c r="V21"/>
  <c r="Y21"/>
  <c r="T23"/>
  <c r="T24"/>
  <c r="U23"/>
  <c r="E23"/>
  <c r="V23"/>
  <c r="Y23"/>
  <c r="T25"/>
  <c r="T26"/>
  <c r="U25"/>
  <c r="E25"/>
  <c r="V25"/>
  <c r="Y25"/>
  <c r="Y27"/>
  <c r="T29"/>
  <c r="T30"/>
  <c r="U29"/>
  <c r="E29"/>
  <c r="V29"/>
  <c r="Y29"/>
  <c r="Y31"/>
  <c r="Y33"/>
  <c r="Y35"/>
  <c r="V37"/>
  <c r="Y37"/>
  <c r="Y39"/>
  <c r="Y41"/>
  <c r="V43"/>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3"/>
  <c r="T27"/>
  <c r="T28"/>
  <c r="T51"/>
  <c r="T52"/>
  <c r="T53"/>
  <c r="T54"/>
  <c r="T55"/>
  <c r="T56"/>
  <c r="T57"/>
  <c r="T58"/>
  <c r="T59"/>
  <c r="T60"/>
  <c r="T61"/>
  <c r="T62"/>
  <c r="T63"/>
  <c r="T64"/>
  <c r="T65"/>
  <c r="T66"/>
  <c r="T67"/>
  <c r="T68"/>
  <c r="T69"/>
  <c r="T70"/>
  <c r="T71"/>
  <c r="T72"/>
  <c r="T73"/>
  <c r="T74"/>
  <c r="T75"/>
  <c r="T76"/>
  <c r="T77"/>
  <c r="T78"/>
  <c r="T202"/>
  <c r="AA203"/>
  <c r="V7"/>
  <c r="V9"/>
  <c r="V11"/>
  <c r="V17"/>
  <c r="V19"/>
  <c r="U27"/>
  <c r="E27"/>
  <c r="V27"/>
  <c r="V31"/>
  <c r="V33"/>
  <c r="V35"/>
  <c r="V39"/>
  <c r="V41"/>
  <c r="V45"/>
  <c r="V47"/>
  <c r="V49"/>
  <c r="V51"/>
  <c r="V53"/>
  <c r="V55"/>
  <c r="V57"/>
  <c r="V59"/>
  <c r="V61"/>
  <c r="V63"/>
  <c r="V65"/>
  <c r="V67"/>
  <c r="V69"/>
  <c r="V71"/>
  <c r="V73"/>
  <c r="V75"/>
  <c r="V77"/>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0"/>
  <c r="Z200"/>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200"/>
  <c r="V200"/>
  <c r="AA200"/>
  <c r="W96"/>
  <c r="W98"/>
  <c r="W100"/>
  <c r="W102"/>
  <c r="W104"/>
  <c r="W106"/>
  <c r="W108"/>
  <c r="W110"/>
  <c r="W112"/>
  <c r="W114"/>
  <c r="W116"/>
  <c r="W118"/>
  <c r="W120"/>
  <c r="W122"/>
  <c r="W124"/>
  <c r="W126"/>
  <c r="W128"/>
  <c r="W130"/>
  <c r="W132"/>
  <c r="W134"/>
  <c r="W136"/>
  <c r="W138"/>
  <c r="W140"/>
  <c r="W142"/>
  <c r="W144"/>
  <c r="W146"/>
  <c r="W148"/>
  <c r="W150"/>
  <c r="W152"/>
  <c r="W154"/>
  <c r="W156"/>
  <c r="W158"/>
  <c r="W160"/>
  <c r="W162"/>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96"/>
  <c r="F110"/>
  <c r="F209"/>
  <c r="F210"/>
  <c r="K222"/>
  <c r="D215"/>
  <c r="D216"/>
  <c r="I222"/>
  <c r="L219"/>
  <c r="K198"/>
  <c r="L202"/>
  <c r="L203"/>
  <c r="L204"/>
  <c r="L222"/>
  <c r="H215"/>
  <c r="H216"/>
  <c r="M212"/>
  <c r="M213"/>
  <c r="L216"/>
  <c r="D219"/>
  <c r="K209"/>
  <c r="K210"/>
  <c r="M205"/>
  <c r="M207"/>
  <c r="F23"/>
  <c r="F27"/>
  <c r="F29"/>
  <c r="F196"/>
  <c r="F198"/>
  <c r="H212"/>
  <c r="H213"/>
  <c r="D196"/>
  <c r="D198"/>
  <c r="L196"/>
  <c r="L197"/>
  <c r="L198"/>
  <c r="H205"/>
  <c r="H207"/>
  <c r="L211"/>
  <c r="L212"/>
  <c r="L213"/>
  <c r="H196"/>
  <c r="H198"/>
  <c r="H204"/>
  <c r="G207"/>
  <c r="J208"/>
  <c r="J210"/>
  <c r="K211"/>
  <c r="K212"/>
  <c r="K213"/>
  <c r="D203"/>
  <c r="D204"/>
  <c r="K207"/>
  <c r="M196"/>
  <c r="M197"/>
  <c r="M198"/>
  <c r="J205"/>
  <c r="J207"/>
  <c r="L208"/>
  <c r="L210"/>
  <c r="F98"/>
  <c r="F102"/>
  <c r="F106"/>
  <c r="F126"/>
  <c r="F200"/>
  <c r="F201"/>
  <c r="I205"/>
  <c r="I207"/>
  <c r="L207"/>
  <c r="F205"/>
  <c r="F207"/>
  <c r="T231"/>
  <c r="F204"/>
  <c r="D210"/>
  <c r="H199"/>
  <c r="H200"/>
  <c r="H201"/>
  <c r="G208"/>
  <c r="G210"/>
  <c r="D200"/>
  <c r="D201"/>
  <c r="J202"/>
  <c r="J203"/>
  <c r="J204"/>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25"/>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U128"/>
  <c r="A128"/>
  <c r="A43"/>
  <c r="Q43"/>
  <c r="Q132"/>
  <c r="Q134"/>
  <c r="A45"/>
  <c r="U130"/>
  <c r="Q45"/>
  <c r="A130"/>
  <c r="A132"/>
  <c r="Q47"/>
  <c r="Q136"/>
  <c r="F128"/>
  <c r="E128"/>
  <c r="A47"/>
  <c r="U132"/>
  <c r="A49"/>
  <c r="Q138"/>
  <c r="Q49"/>
  <c r="E130"/>
  <c r="F130"/>
  <c r="A134"/>
  <c r="U134"/>
  <c r="E132"/>
  <c r="F132"/>
  <c r="A136"/>
  <c r="Q51"/>
  <c r="Q140"/>
  <c r="U136"/>
  <c r="A51"/>
  <c r="A53"/>
  <c r="U138"/>
  <c r="Q53"/>
  <c r="A138"/>
  <c r="Q142"/>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<sst xmlns="http://schemas.openxmlformats.org/spreadsheetml/2006/main" count="3619" uniqueCount="722">
  <si>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</si>
  <si>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</si>
  <si>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</si>
  <si>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</si>
  <si>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</si>
  <si>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</si>
  <si>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</si>
  <si>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</si>
  <si>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</si>
  <si>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</si>
  <si>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</si>
  <si>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</si>
  <si>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</si>
  <si>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</si>
  <si>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</si>
  <si>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</si>
  <si>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</si>
  <si>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</si>
  <si>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</si>
  <si>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</si>
  <si>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</si>
  <si>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</si>
  <si>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</si>
  <si>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</si>
  <si>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</si>
  <si>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</si>
  <si>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</si>
  <si>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</si>
  <si>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</si>
  <si>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</si>
  <si>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</si>
  <si>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</si>
  <si>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</si>
  <si>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</si>
  <si>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</si>
  <si>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</si>
  <si>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Masonic Temple Drill Hall</t>
  </si>
  <si>
    <t>Detroit</t>
  </si>
  <si>
    <t>MI</t>
  </si>
  <si>
    <t>Detroit Derby Girls</t>
  </si>
  <si>
    <t>Detroit Pistoffs</t>
  </si>
  <si>
    <t>138</t>
  </si>
  <si>
    <t>Mag Pie</t>
  </si>
  <si>
    <t>181</t>
  </si>
  <si>
    <t>Vega Vendetta</t>
  </si>
  <si>
    <t>1821</t>
  </si>
  <si>
    <t>Mexi-Go</t>
  </si>
  <si>
    <t>187</t>
  </si>
  <si>
    <t>VeroniKILL</t>
  </si>
  <si>
    <t>1879</t>
  </si>
  <si>
    <t>Belle Isle Hurtya</t>
  </si>
  <si>
    <t>20</t>
  </si>
  <si>
    <t>Devil Kitty</t>
  </si>
  <si>
    <t>20KN</t>
  </si>
  <si>
    <t>Kraken Whips</t>
  </si>
  <si>
    <t>212</t>
  </si>
  <si>
    <t>Wham!tramck</t>
  </si>
  <si>
    <t>33 1/3</t>
  </si>
  <si>
    <t>Cookie Rumble</t>
  </si>
  <si>
    <t>428</t>
  </si>
  <si>
    <t>Rev. HellifIknow</t>
  </si>
  <si>
    <t>Head</t>
  </si>
  <si>
    <t>Mayor McSmartass</t>
  </si>
  <si>
    <t>Jam</t>
  </si>
  <si>
    <t>Smackswell Smart</t>
  </si>
  <si>
    <t>Marv Illis</t>
  </si>
  <si>
    <t>Inside</t>
  </si>
  <si>
    <t>Geo No U Di'int</t>
  </si>
  <si>
    <t>Outside</t>
  </si>
  <si>
    <t>Maniacal Momma</t>
  </si>
  <si>
    <t>Mohammed Falli</t>
  </si>
  <si>
    <t>Lazer Beam</t>
  </si>
  <si>
    <t>7</t>
  </si>
  <si>
    <t>CottonCandy Princess</t>
  </si>
  <si>
    <t>72</t>
  </si>
  <si>
    <t>Demonica Mars</t>
  </si>
  <si>
    <t>9.81</t>
  </si>
  <si>
    <t>Uhura Belle Death</t>
  </si>
  <si>
    <t>I-75</t>
  </si>
  <si>
    <t>Diesel Doll</t>
  </si>
  <si>
    <t>N2O</t>
  </si>
  <si>
    <t>WFTDA Interleague Bout Reporting Form (IBRF)</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</si>
  <si>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</si>
  <si>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</si>
  <si>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</si>
  <si>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</si>
  <si>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</si>
  <si>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</si>
  <si>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</si>
  <si>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</si>
  <si>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</si>
  <si>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</si>
  <si>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</si>
  <si>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</si>
  <si>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</si>
  <si>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</si>
  <si>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</si>
  <si>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</si>
  <si>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</si>
  <si>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</si>
  <si>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</si>
  <si>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</si>
  <si>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</si>
  <si>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</si>
  <si>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</si>
  <si>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</si>
  <si>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</si>
  <si>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</si>
  <si>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</si>
  <si>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</si>
  <si>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</si>
  <si>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</si>
  <si>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Cool Whip</t>
  </si>
  <si>
    <t>W00T</t>
  </si>
  <si>
    <t>Genniferal</t>
  </si>
  <si>
    <t>Z28</t>
  </si>
  <si>
    <t>V8 Nightmare</t>
  </si>
  <si>
    <t>Circuit Broad</t>
  </si>
  <si>
    <t>Jack Asster</t>
  </si>
  <si>
    <t>Jam Timer</t>
  </si>
  <si>
    <t>Genn Dehrbend</t>
  </si>
  <si>
    <t>Penalty Wrangler</t>
  </si>
  <si>
    <t>Bitch Barksalot</t>
  </si>
  <si>
    <t>Hottimus Prime</t>
  </si>
  <si>
    <t>0</t>
  </si>
  <si>
    <t>2¢</t>
  </si>
  <si>
    <t>1</t>
  </si>
  <si>
    <t>4</t>
  </si>
  <si>
    <t>3</t>
  </si>
  <si>
    <t>Rusty Wheeler/Off the Hook</t>
  </si>
  <si>
    <t>Robbin Plunder/Skid Bro</t>
  </si>
  <si>
    <t>TnA Assassin</t>
  </si>
  <si>
    <t>Hotimus Prime</t>
  </si>
  <si>
    <t>Robyn d'Cradle</t>
  </si>
  <si>
    <t>Horrible Thing</t>
  </si>
  <si>
    <t>OFF.  BLK</t>
  </si>
  <si>
    <t>OFF.  KD</t>
  </si>
  <si>
    <t>WHIP</t>
  </si>
  <si>
    <t>PUSH</t>
  </si>
  <si>
    <t>DOZER</t>
  </si>
  <si>
    <t>ASSISTS</t>
  </si>
  <si>
    <t>1/4 TRACK</t>
  </si>
  <si>
    <t>FORCEOUT</t>
  </si>
  <si>
    <t>JAMMER HIT</t>
  </si>
  <si>
    <t>Jammer KD</t>
  </si>
  <si>
    <t>Block Assist</t>
  </si>
  <si>
    <t>ATTACKS</t>
  </si>
  <si>
    <t>SmakPak</t>
  </si>
  <si>
    <t>Scoreboard</t>
  </si>
  <si>
    <t>Robbin Plunder</t>
  </si>
  <si>
    <t>Action Spotter</t>
  </si>
  <si>
    <t>Rusty Wheeler</t>
  </si>
  <si>
    <t>Off the Hook</t>
  </si>
  <si>
    <t>Skid Bro</t>
  </si>
  <si>
    <t>Oakland</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</si>
  <si>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</si>
  <si>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</si>
  <si>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</si>
  <si>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</si>
  <si>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</si>
  <si>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</si>
  <si>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</si>
  <si>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</si>
  <si>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</si>
  <si>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</si>
  <si>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</si>
  <si>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</si>
  <si>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</si>
  <si>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</si>
  <si>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</si>
  <si>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</si>
  <si>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</si>
  <si>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</si>
  <si>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</si>
  <si>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</si>
  <si>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</si>
  <si>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</si>
  <si>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</si>
  <si>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</si>
  <si>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</si>
  <si>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</si>
  <si>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</si>
  <si>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</si>
  <si>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</si>
  <si>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</si>
  <si>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</si>
  <si>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</si>
  <si>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</si>
  <si>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</si>
  <si>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</si>
  <si>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</si>
  <si>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</si>
  <si>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</si>
  <si>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</si>
  <si>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</si>
  <si>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</si>
  <si>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</si>
  <si>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</si>
  <si>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</si>
  <si>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</si>
  <si>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</si>
  <si>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</si>
  <si>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</si>
  <si>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</si>
  <si>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</si>
  <si>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</si>
  <si>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</si>
  <si>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</si>
  <si>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</si>
  <si>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</si>
  <si>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</si>
  <si>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</si>
  <si>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</si>
  <si>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</si>
  <si>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</si>
  <si>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</si>
  <si>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</si>
  <si>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</si>
  <si>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Freakin' Rican</t>
  </si>
  <si>
    <t>6</t>
  </si>
  <si>
    <t>Elle McFearsome</t>
  </si>
  <si>
    <t>728</t>
  </si>
  <si>
    <t>Combat Cat</t>
  </si>
  <si>
    <t>80</t>
  </si>
  <si>
    <t>Mean Streak</t>
  </si>
  <si>
    <t>9.99</t>
  </si>
  <si>
    <t>U.S.S. DentHerPrize</t>
  </si>
  <si>
    <t>F14</t>
  </si>
  <si>
    <t>Apertorture</t>
  </si>
  <si>
    <t>MVP</t>
  </si>
  <si>
    <t>Offensive Blocker</t>
  </si>
  <si>
    <t>Defensive Blocker</t>
  </si>
  <si>
    <t>Blue</t>
  </si>
  <si>
    <t>Red</t>
  </si>
  <si>
    <t>SP</t>
  </si>
  <si>
    <t>Wampa Stomper/Bitch Barksalot</t>
  </si>
  <si>
    <t>Tig O' Hitties</t>
  </si>
  <si>
    <t>42</t>
  </si>
  <si>
    <t>Midnite Vulture</t>
  </si>
  <si>
    <t>50</t>
  </si>
  <si>
    <t>Sam-I-Slam</t>
  </si>
  <si>
    <t>620</t>
  </si>
  <si>
    <t>Out of Play</t>
  </si>
  <si>
    <t>S</t>
  </si>
  <si>
    <t>Skate OOB</t>
  </si>
  <si>
    <t>Expulsion</t>
  </si>
  <si>
    <t>N</t>
  </si>
  <si>
    <t>Insubord'n</t>
  </si>
  <si>
    <t>G</t>
  </si>
  <si>
    <t>(Gross)</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</si>
  <si>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</si>
  <si>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</si>
  <si>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</si>
  <si>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</si>
  <si>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</si>
  <si>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</si>
  <si>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</si>
  <si>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</si>
  <si>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</si>
  <si>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</si>
  <si>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</si>
  <si>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</si>
  <si>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</si>
  <si>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</si>
  <si>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</si>
  <si>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</si>
  <si>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</si>
  <si>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</si>
  <si>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</si>
  <si>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</si>
  <si>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</si>
  <si>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</si>
  <si>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</si>
  <si>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</si>
  <si>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</si>
  <si>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</si>
  <si>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</si>
  <si>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</si>
  <si>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</si>
  <si>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</si>
  <si>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</si>
  <si>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</si>
  <si>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</si>
  <si>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</si>
  <si>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</si>
  <si>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</si>
  <si>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</si>
  <si>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</si>
  <si>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</si>
  <si>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</si>
  <si>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</si>
  <si>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</si>
  <si>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</si>
  <si>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</si>
  <si>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</si>
  <si>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</si>
  <si>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</si>
  <si>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</si>
  <si>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</si>
  <si>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</si>
  <si>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</si>
  <si>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</si>
  <si>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</si>
  <si>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</si>
  <si>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</si>
  <si>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</si>
  <si>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</si>
  <si>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</si>
  <si>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</si>
  <si>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 vs opponent:</t>
  </si>
  <si>
    <t>MAJOR TOTALS</t>
  </si>
  <si>
    <t>Total Penalty Minutes</t>
  </si>
  <si>
    <t>Avg Majors / Jam:</t>
  </si>
  <si>
    <t>Team Total Majors as % of Bout Total:</t>
  </si>
  <si>
    <t>Penalty Tracker/Inside Whiteboard</t>
  </si>
  <si>
    <t>Wampa Stomper</t>
  </si>
  <si>
    <t>Pitzy</t>
  </si>
  <si>
    <t>Penalty Box Official</t>
  </si>
  <si>
    <t>Minnie Mousetrap</t>
  </si>
  <si>
    <t>VTAR PIVOT AVG +/-</t>
  </si>
  <si>
    <t>VTAR BLOCKER AVG +/-</t>
  </si>
  <si>
    <t>TOTAL VTAR AVG +/-</t>
  </si>
  <si>
    <t>AVERAGE BLOCKER +/-</t>
  </si>
  <si>
    <t>AVG +/-</t>
  </si>
  <si>
    <t>VTAR      PTS FOR</t>
  </si>
  <si>
    <t>VTAR  PTS AGAINST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</si>
  <si>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</si>
  <si>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</si>
  <si>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</si>
  <si>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</si>
  <si>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</si>
  <si>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</si>
  <si>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</si>
  <si>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</si>
  <si>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</si>
  <si>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</si>
  <si>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</si>
  <si>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</si>
  <si>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</si>
  <si>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</si>
  <si>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</si>
  <si>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</si>
  <si>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</si>
  <si>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</si>
  <si>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</si>
  <si>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</si>
  <si>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</si>
  <si>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</si>
  <si>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</si>
  <si>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</si>
  <si>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Skater: +/-</t>
  </si>
  <si>
    <t>Skater: Points For</t>
  </si>
  <si>
    <t>Skater: Points Against</t>
  </si>
  <si>
    <t>Box Trips</t>
  </si>
  <si>
    <t>NAME</t>
  </si>
  <si>
    <t>TIMEOUTS TAKEN</t>
  </si>
  <si>
    <t>REVIEW</t>
  </si>
  <si>
    <t>Pistolwhippers</t>
  </si>
  <si>
    <t>182</t>
  </si>
  <si>
    <t>Travis Blocker</t>
  </si>
  <si>
    <t>2</t>
  </si>
  <si>
    <t>Vera Toss</t>
  </si>
  <si>
    <t>24/7</t>
  </si>
  <si>
    <t>boo d. livers</t>
  </si>
  <si>
    <t>27</t>
  </si>
  <si>
    <t>A.O. Lesgo</t>
  </si>
  <si>
    <t>38DD</t>
  </si>
  <si>
    <t>Laps/Min</t>
  </si>
  <si>
    <t>O</t>
  </si>
  <si>
    <t>OOB Block</t>
  </si>
  <si>
    <t>P</t>
  </si>
  <si>
    <t>Dir of Play</t>
  </si>
  <si>
    <t>E</t>
  </si>
  <si>
    <t>Elbows</t>
  </si>
  <si>
    <t>F</t>
  </si>
  <si>
    <t>Forearms</t>
  </si>
  <si>
    <t>A</t>
  </si>
  <si>
    <t>High Block</t>
  </si>
  <si>
    <t>I</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</si>
  <si>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</si>
  <si>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</si>
  <si>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</si>
  <si>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</si>
  <si>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</si>
  <si>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</si>
  <si>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</si>
  <si>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</si>
  <si>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</si>
  <si>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</si>
  <si>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</si>
  <si>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</si>
  <si>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</si>
  <si>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</si>
  <si>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</si>
  <si>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</si>
  <si>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</si>
  <si>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</si>
  <si>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</si>
  <si>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</si>
  <si>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</si>
  <si>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</si>
  <si>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</si>
  <si>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</si>
  <si>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</si>
  <si>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</si>
  <si>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</si>
  <si>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</si>
  <si>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</si>
  <si>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</si>
  <si>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</si>
  <si>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</si>
  <si>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</si>
  <si>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</si>
  <si>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</si>
  <si>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</si>
  <si>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</si>
  <si>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JAMMER</t>
  </si>
  <si>
    <t>PIVOT</t>
  </si>
  <si>
    <t>BLOCKER</t>
  </si>
  <si>
    <t>TOTAL</t>
  </si>
  <si>
    <t>%  JAMS SKATED</t>
  </si>
  <si>
    <t>PPJ</t>
  </si>
  <si>
    <t>CALLED</t>
  </si>
  <si>
    <t>NO  PASS</t>
  </si>
  <si>
    <t>LEAD %</t>
  </si>
  <si>
    <t>LEAD +/-</t>
  </si>
  <si>
    <t>of Bout Total Penalty Minutes</t>
  </si>
  <si>
    <t>1/4 TRACK
JAMMER BLOCK</t>
  </si>
  <si>
    <t>JAMMER
FORCE-OUT</t>
  </si>
  <si>
    <t>HIT ON JAMMER</t>
  </si>
  <si>
    <t>JAMMER KNOCKDOWN</t>
  </si>
  <si>
    <t>VTAR JAMMER AVG +/-</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</si>
  <si>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</si>
  <si>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</si>
  <si>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</si>
  <si>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</si>
  <si>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</si>
  <si>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</si>
  <si>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</si>
  <si>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</si>
  <si>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</si>
  <si>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</si>
  <si>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</si>
  <si>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</si>
  <si>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</si>
  <si>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</si>
  <si>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</si>
  <si>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</si>
  <si>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</si>
  <si>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</si>
  <si>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t>Home/Light Team Captain:</t>
  </si>
  <si>
    <t>Pass 5</t>
  </si>
  <si>
    <t>Pass 6</t>
  </si>
  <si>
    <t>Pass 7</t>
  </si>
  <si>
    <t>Pass 8</t>
  </si>
  <si>
    <t>Jam Total</t>
  </si>
  <si>
    <t>Identify captains and alternates before game. Indicate time on period clock when TO or OR used.</t>
  </si>
  <si>
    <t>JAM TIME</t>
  </si>
  <si>
    <t>PACK LAPS</t>
  </si>
  <si>
    <t>EVENT</t>
  </si>
  <si>
    <t>TEAM/SKATER</t>
  </si>
  <si>
    <t>L</t>
  </si>
  <si>
    <t>Low Block</t>
  </si>
  <si>
    <t>M</t>
  </si>
  <si>
    <t>Multi-Player</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</si>
  <si>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</si>
  <si>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</si>
  <si>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</si>
  <si>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</si>
  <si>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</si>
  <si>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</si>
  <si>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</si>
  <si>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</si>
  <si>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</si>
  <si>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</si>
  <si>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</si>
  <si>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</si>
  <si>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</si>
  <si>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</si>
  <si>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(four sheets, opposite teams covered)</t>
  </si>
  <si>
    <t>Errors</t>
  </si>
  <si>
    <t>AVERAGE LEAD +/-</t>
  </si>
  <si>
    <t>PTS  FOR</t>
  </si>
  <si>
    <t>PTS AGAINST</t>
  </si>
  <si>
    <t>TOTAL +/-</t>
  </si>
  <si>
    <t>JAMMER +/-</t>
  </si>
  <si>
    <t>AVERAGE JAMMER +/-</t>
  </si>
  <si>
    <t>PIVOT +/-</t>
  </si>
  <si>
    <t>AVERAGE PIVOT +/-</t>
  </si>
  <si>
    <t>BLOCK +/-</t>
  </si>
  <si>
    <t>When a star pass occurs, enter SP as in the JAM column on a new row, with jammer and pivot reversed (mark noPivot), same blockers, and maintain current pass count.</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</si>
  <si>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</si>
  <si>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</si>
  <si>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</si>
  <si>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</si>
  <si>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</si>
  <si>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</si>
  <si>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</si>
  <si>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</si>
  <si>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</si>
  <si>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</si>
  <si>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</si>
  <si>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</si>
  <si>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</si>
  <si>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</si>
  <si>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</si>
  <si>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</si>
  <si>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</si>
  <si>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</si>
  <si>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</si>
  <si>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</si>
  <si>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</si>
  <si>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</si>
  <si>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</si>
  <si>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</si>
  <si>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</si>
  <si>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</si>
  <si>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</si>
  <si>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</si>
  <si>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</si>
  <si>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</si>
  <si>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Game Total</t>
  </si>
  <si>
    <t>Passes</t>
  </si>
  <si>
    <t>PERIOD TOTALS</t>
  </si>
  <si>
    <t>#</t>
  </si>
  <si>
    <t>PENALTY MINUTES</t>
  </si>
  <si>
    <t>FO/EXP</t>
  </si>
  <si>
    <t>B</t>
  </si>
  <si>
    <t>Back Block</t>
  </si>
  <si>
    <t>H</t>
  </si>
  <si>
    <t>Blk w/ Head</t>
  </si>
  <si>
    <t>X</t>
  </si>
  <si>
    <t>Cut Track</t>
  </si>
  <si>
    <t>C</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</si>
  <si>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</si>
  <si>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</si>
  <si>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</si>
  <si>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</si>
  <si>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</si>
  <si>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</si>
  <si>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</si>
  <si>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</si>
  <si>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</si>
  <si>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</si>
  <si>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</si>
  <si>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</si>
  <si>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</si>
  <si>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</si>
  <si>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</si>
  <si>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</si>
  <si>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</si>
  <si>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</si>
  <si>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</si>
  <si>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</si>
  <si>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</si>
  <si>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</si>
  <si>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</si>
  <si>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</si>
  <si>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</si>
  <si>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</si>
  <si>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</si>
  <si>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</si>
  <si>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</si>
  <si>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</si>
  <si>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</si>
  <si>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</si>
  <si>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</si>
  <si>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</si>
  <si>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</si>
  <si>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</si>
  <si>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</si>
  <si>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</si>
  <si>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</si>
  <si>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</si>
  <si>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</si>
  <si>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</si>
  <si>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</si>
  <si>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</si>
  <si>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</si>
  <si>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</si>
  <si>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</si>
  <si>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</si>
  <si>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</si>
  <si>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</si>
  <si>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(two sheets, opposite teams covered)</t>
  </si>
  <si>
    <t>Score P.1 &amp; 2</t>
  </si>
  <si>
    <t>Penalties P.1 &amp; 2</t>
  </si>
  <si>
    <t>Lineup P.1 &amp; 2</t>
  </si>
  <si>
    <t>Actions P.1 &amp; 2 (if used)</t>
  </si>
  <si>
    <t>6.</t>
  </si>
  <si>
    <t>Errors P.1 &amp; 2 (if used)</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</si>
  <si>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</si>
  <si>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</si>
  <si>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</si>
  <si>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</si>
  <si>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</si>
  <si>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</si>
  <si>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</si>
  <si>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</si>
  <si>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</si>
  <si>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</si>
  <si>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</si>
  <si>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</si>
  <si>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</si>
  <si>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</si>
  <si>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</si>
  <si>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</si>
  <si>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</si>
  <si>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</si>
  <si>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</si>
  <si>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</si>
  <si>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</si>
  <si>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WFTDA StatsBook 4.0-D</t>
  </si>
  <si>
    <t>Principal Editors: Grand Poobah and Ian Fluenza</t>
  </si>
  <si>
    <t>Principal Editors: AK-40oz. and Grand Poobah</t>
  </si>
  <si>
    <t>WFTDA StatsBible 4.0-A</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</si>
  <si>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</si>
  <si>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</si>
  <si>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</si>
  <si>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</si>
  <si>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</si>
  <si>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</si>
  <si>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</si>
  <si>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</si>
  <si>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</si>
  <si>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</si>
  <si>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</si>
  <si>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</si>
  <si>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</si>
  <si>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</si>
  <si>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</si>
  <si>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</si>
  <si>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</si>
  <si>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</si>
  <si>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</si>
  <si>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</si>
  <si>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</si>
  <si>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</si>
  <si>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</si>
  <si>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</si>
  <si>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</si>
  <si>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</si>
  <si>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</si>
  <si>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</si>
  <si>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</si>
  <si>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</si>
  <si>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Ryan Zulkiewicz "Cleveland"</t>
  </si>
  <si>
    <t>"FN Zebra"</t>
  </si>
  <si>
    <t>USA</t>
  </si>
  <si>
    <t>Austin, TX  78761</t>
  </si>
  <si>
    <t>Team colors populate from first row of Score sheet.</t>
  </si>
  <si>
    <t>Rev 130308 © 2013 WFTDA</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</si>
  <si>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</si>
  <si>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</si>
  <si>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</si>
  <si>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</si>
  <si>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</si>
  <si>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</si>
  <si>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</si>
  <si>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</si>
  <si>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</si>
  <si>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</si>
  <si>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</si>
  <si>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</si>
  <si>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</si>
  <si>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</si>
  <si>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</si>
  <si>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</si>
  <si>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</si>
  <si>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</si>
  <si>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</si>
  <si>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</si>
  <si>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</si>
  <si>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</si>
  <si>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Principal Editor: AK-40oz.</t>
  </si>
  <si>
    <t>WFTDA Stats Calculator 2.1</t>
  </si>
  <si>
    <t>Alisha Campbell</t>
  </si>
  <si>
    <t>Tournament Director</t>
  </si>
  <si>
    <t>B O U T     A W A R D 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</si>
  <si>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</si>
  <si>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Added Expulsion/Suspension form.</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</si>
  <si>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</si>
  <si>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</si>
  <si>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</si>
  <si>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</si>
  <si>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</si>
  <si>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</si>
  <si>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</si>
  <si>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</si>
  <si>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</si>
  <si>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</si>
  <si>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</si>
  <si>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</si>
  <si>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</si>
  <si>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</si>
  <si>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Mayor McSmartass/Blue</t>
  </si>
  <si>
    <t>J</t>
  </si>
  <si>
    <t>Smackswell Smart/Red</t>
  </si>
  <si>
    <t>Smackswell Smart/Blue</t>
  </si>
  <si>
    <t>-</t>
  </si>
  <si>
    <t>29KN</t>
  </si>
  <si>
    <t>5</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</si>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</sst>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3">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0"/>
      <name val="Tahoma"/>
      <family val="2"/>
    </font>
    <font>
      <sz val="10"/>
      <name val="Tahoma"/>
      <family val="2"/>
    </font>
    <font>
      <strike/>
      <sz val="10"/>
      <name val="Calibri"/>
    </font>
  </fonts>
  <fills count="81">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12"/>
        <bgColor indexed="64"/>
      </patternFill>
    </fill>
    <fill>
      <patternFill patternType="solid">
        <fgColor indexed="27"/>
        <bgColor indexed="64"/>
      </patternFill>
    </fill>
    <fill>
      <patternFill patternType="solid">
        <fgColor indexed="21"/>
        <bgColor indexed="64"/>
      </patternFill>
    </fill>
    <fill>
      <patternFill patternType="solid">
        <fgColor indexed="6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2"/>
        <bgColor indexed="58"/>
      </patternFill>
    </fill>
    <fill>
      <patternFill patternType="solid">
        <fgColor indexed="22"/>
        <bgColor indexed="9"/>
      </patternFill>
    </fill>
    <fill>
      <patternFill patternType="solid">
        <fgColor indexed="6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67">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14" fillId="28"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31" borderId="0" xfId="2" applyFont="1" applyFill="1" applyAlignment="1">
      <alignment horizontal="center" vertical="center" shrinkToFit="1"/>
    </xf>
    <xf numFmtId="0" fontId="24" fillId="0" borderId="0" xfId="2" applyFont="1" applyFill="1" applyAlignment="1">
      <alignment shrinkToFit="1"/>
    </xf>
    <xf numFmtId="0" fontId="29"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5" borderId="0" xfId="2" applyFont="1" applyFill="1" applyAlignment="1">
      <alignment horizontal="center" shrinkToFit="1"/>
    </xf>
    <xf numFmtId="0" fontId="22" fillId="46" borderId="0" xfId="2" applyFont="1" applyFill="1" applyAlignment="1">
      <alignment horizontal="center" shrinkToFit="1"/>
    </xf>
    <xf numFmtId="0" fontId="14" fillId="50" borderId="32" xfId="2" applyFont="1" applyFill="1" applyBorder="1" applyAlignment="1">
      <alignment horizontal="center" shrinkToFit="1"/>
    </xf>
    <xf numFmtId="0" fontId="14" fillId="50"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51" borderId="35" xfId="2" applyFont="1" applyFill="1" applyBorder="1" applyAlignment="1">
      <alignment horizontal="center" shrinkToFit="1"/>
    </xf>
    <xf numFmtId="0" fontId="14" fillId="51" borderId="33" xfId="2" applyFont="1" applyFill="1" applyBorder="1" applyAlignment="1">
      <alignment horizontal="center"/>
    </xf>
    <xf numFmtId="0" fontId="14" fillId="50" borderId="35" xfId="2" applyFont="1" applyFill="1" applyBorder="1" applyAlignment="1">
      <alignment horizontal="center"/>
    </xf>
    <xf numFmtId="0" fontId="14" fillId="50" borderId="18" xfId="2" applyFont="1" applyFill="1" applyBorder="1" applyAlignment="1">
      <alignment horizontal="center"/>
    </xf>
    <xf numFmtId="0" fontId="14" fillId="50"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2" borderId="197" xfId="2" applyNumberFormat="1" applyFont="1" applyFill="1" applyBorder="1" applyAlignment="1">
      <alignment horizontal="center" vertical="center"/>
    </xf>
    <xf numFmtId="2" fontId="14" fillId="52"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3" borderId="18" xfId="2" applyNumberFormat="1" applyFont="1" applyFill="1" applyBorder="1" applyAlignment="1">
      <alignment horizontal="center" vertical="center"/>
    </xf>
    <xf numFmtId="2" fontId="14" fillId="53"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2" borderId="20" xfId="2" applyNumberFormat="1" applyFont="1" applyFill="1" applyBorder="1" applyAlignment="1">
      <alignment horizontal="center" vertical="center"/>
    </xf>
    <xf numFmtId="2" fontId="14" fillId="52"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5"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4"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33"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40"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6" borderId="0" xfId="0" applyFont="1" applyFill="1" applyAlignment="1">
      <alignment horizontal="right"/>
    </xf>
    <xf numFmtId="0" fontId="14" fillId="26"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8" xfId="0" applyFont="1" applyFill="1" applyBorder="1" applyAlignment="1">
      <alignment horizontal="right" vertical="top"/>
    </xf>
    <xf numFmtId="0" fontId="14" fillId="26" borderId="0" xfId="0" applyFont="1" applyFill="1" applyBorder="1" applyAlignment="1">
      <alignment horizontal="right"/>
    </xf>
    <xf numFmtId="0" fontId="14" fillId="26" borderId="168" xfId="0" applyFont="1" applyFill="1" applyBorder="1" applyAlignment="1">
      <alignment horizontal="right" vertical="top"/>
    </xf>
    <xf numFmtId="0" fontId="13" fillId="42"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41" xfId="0" applyFont="1" applyFill="1" applyBorder="1" applyAlignment="1">
      <alignment horizontal="right"/>
    </xf>
    <xf numFmtId="0" fontId="14" fillId="26" borderId="175" xfId="0" applyFont="1" applyFill="1" applyBorder="1" applyAlignment="1">
      <alignment horizontal="right"/>
    </xf>
    <xf numFmtId="0" fontId="61" fillId="0" borderId="0" xfId="3" applyFont="1" applyBorder="1" applyAlignment="1">
      <alignment vertical="center" wrapText="1"/>
    </xf>
    <xf numFmtId="0" fontId="54" fillId="26" borderId="15" xfId="3" applyFont="1" applyFill="1" applyBorder="1" applyAlignment="1">
      <alignment horizontal="center" vertical="center" wrapText="1"/>
    </xf>
    <xf numFmtId="0" fontId="14" fillId="26" borderId="73" xfId="2" applyFont="1" applyFill="1" applyBorder="1" applyAlignment="1">
      <alignment horizontal="center" vertical="top" shrinkToFit="1"/>
    </xf>
    <xf numFmtId="0" fontId="16" fillId="42"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6" borderId="18" xfId="2" applyFont="1" applyFill="1" applyBorder="1" applyAlignment="1"/>
    <xf numFmtId="0" fontId="19" fillId="36" borderId="33" xfId="2" applyFont="1" applyFill="1" applyBorder="1" applyAlignment="1"/>
    <xf numFmtId="165" fontId="19" fillId="36" borderId="18" xfId="2" applyNumberFormat="1" applyFont="1" applyFill="1" applyBorder="1" applyAlignment="1"/>
    <xf numFmtId="9" fontId="19" fillId="36" borderId="33" xfId="2" applyNumberFormat="1" applyFont="1" applyFill="1" applyBorder="1" applyAlignment="1"/>
    <xf numFmtId="9" fontId="19" fillId="36" borderId="18" xfId="2" applyNumberFormat="1" applyFont="1" applyFill="1" applyBorder="1" applyAlignment="1"/>
    <xf numFmtId="9" fontId="19" fillId="36" borderId="21" xfId="2" applyNumberFormat="1" applyFont="1" applyFill="1" applyBorder="1" applyAlignment="1"/>
    <xf numFmtId="0" fontId="19" fillId="36" borderId="15" xfId="2" applyFont="1" applyFill="1" applyBorder="1" applyAlignment="1"/>
    <xf numFmtId="9" fontId="19" fillId="36" borderId="22" xfId="2" applyNumberFormat="1" applyFont="1" applyFill="1" applyBorder="1" applyAlignment="1"/>
    <xf numFmtId="0" fontId="19" fillId="36" borderId="20" xfId="2" applyFont="1" applyFill="1" applyBorder="1" applyAlignment="1"/>
    <xf numFmtId="9" fontId="19" fillId="36" borderId="25" xfId="2" applyNumberFormat="1" applyFont="1" applyFill="1" applyBorder="1" applyAlignment="1"/>
    <xf numFmtId="2" fontId="19" fillId="36" borderId="21" xfId="2" applyNumberFormat="1" applyFont="1" applyFill="1" applyBorder="1" applyAlignment="1"/>
    <xf numFmtId="1" fontId="19" fillId="36" borderId="18" xfId="2" applyNumberFormat="1" applyFont="1" applyFill="1" applyBorder="1" applyAlignment="1"/>
    <xf numFmtId="2" fontId="19" fillId="36" borderId="18" xfId="2" applyNumberFormat="1" applyFont="1" applyFill="1" applyBorder="1" applyAlignment="1"/>
    <xf numFmtId="1" fontId="19" fillId="36" borderId="24" xfId="2" applyNumberFormat="1" applyFont="1" applyFill="1" applyBorder="1" applyAlignment="1"/>
    <xf numFmtId="2" fontId="19" fillId="36" borderId="24" xfId="2" applyNumberFormat="1" applyFont="1" applyFill="1" applyBorder="1" applyAlignment="1"/>
    <xf numFmtId="2" fontId="19" fillId="36" borderId="48" xfId="2" applyNumberFormat="1" applyFont="1" applyFill="1" applyBorder="1" applyAlignment="1"/>
    <xf numFmtId="2" fontId="19" fillId="37" borderId="18" xfId="2" applyNumberFormat="1" applyFont="1" applyFill="1" applyBorder="1" applyAlignment="1"/>
    <xf numFmtId="2" fontId="19" fillId="37" borderId="21" xfId="2" applyNumberFormat="1" applyFont="1" applyFill="1" applyBorder="1" applyAlignment="1"/>
    <xf numFmtId="2" fontId="19" fillId="37" borderId="33" xfId="2" applyNumberFormat="1" applyFont="1" applyFill="1" applyBorder="1" applyAlignment="1"/>
    <xf numFmtId="0" fontId="19" fillId="36" borderId="61" xfId="2" applyFont="1" applyFill="1" applyBorder="1" applyAlignment="1"/>
    <xf numFmtId="9" fontId="19" fillId="36" borderId="17" xfId="2" applyNumberFormat="1" applyFont="1" applyFill="1" applyBorder="1" applyAlignment="1"/>
    <xf numFmtId="2" fontId="19" fillId="36" borderId="14" xfId="2" applyNumberFormat="1" applyFont="1" applyFill="1" applyBorder="1" applyAlignment="1"/>
    <xf numFmtId="1" fontId="19" fillId="36" borderId="13" xfId="2" applyNumberFormat="1" applyFont="1" applyFill="1" applyBorder="1" applyAlignment="1"/>
    <xf numFmtId="2" fontId="19" fillId="36" borderId="13" xfId="2" applyNumberFormat="1" applyFont="1" applyFill="1" applyBorder="1" applyAlignment="1"/>
    <xf numFmtId="9" fontId="19" fillId="36" borderId="13" xfId="2" applyNumberFormat="1" applyFont="1" applyFill="1" applyBorder="1" applyAlignment="1"/>
    <xf numFmtId="165" fontId="19" fillId="36" borderId="13" xfId="2" applyNumberFormat="1" applyFont="1" applyFill="1" applyBorder="1" applyAlignment="1"/>
    <xf numFmtId="0" fontId="19" fillId="36" borderId="17" xfId="2" applyFont="1" applyFill="1" applyBorder="1" applyAlignment="1"/>
    <xf numFmtId="0" fontId="19" fillId="36"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6" borderId="60" xfId="2" applyNumberFormat="1" applyFont="1" applyFill="1" applyBorder="1" applyAlignment="1">
      <alignment horizontal="center"/>
    </xf>
    <xf numFmtId="0" fontId="19" fillId="36" borderId="61" xfId="2" applyFont="1" applyFill="1" applyBorder="1" applyAlignment="1">
      <alignment horizontal="center" wrapText="1"/>
    </xf>
    <xf numFmtId="0" fontId="21" fillId="36" borderId="75" xfId="2"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shrinkToFit="1"/>
    </xf>
    <xf numFmtId="0" fontId="21" fillId="36" borderId="63" xfId="2" applyFont="1" applyFill="1" applyBorder="1" applyAlignment="1">
      <alignment horizontal="center" vertical="center" textRotation="90" shrinkToFit="1"/>
    </xf>
    <xf numFmtId="0" fontId="21" fillId="36" borderId="64" xfId="2" applyFont="1" applyFill="1" applyBorder="1" applyAlignment="1">
      <alignment horizontal="center" vertical="center" textRotation="90" shrinkToFit="1"/>
    </xf>
    <xf numFmtId="0" fontId="21" fillId="36" borderId="65" xfId="2" applyFont="1" applyFill="1" applyBorder="1" applyAlignment="1">
      <alignment horizontal="center" vertical="center" textRotation="90" wrapText="1"/>
    </xf>
    <xf numFmtId="0" fontId="21" fillId="36" borderId="75" xfId="2" applyFont="1" applyFill="1" applyBorder="1" applyAlignment="1">
      <alignment horizontal="center" vertical="center" textRotation="90" wrapText="1" shrinkToFit="1"/>
    </xf>
    <xf numFmtId="1" fontId="21" fillId="36" borderId="90" xfId="2" applyNumberFormat="1"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wrapText="1" shrinkToFit="1"/>
    </xf>
    <xf numFmtId="1" fontId="21" fillId="36" borderId="61" xfId="2" applyNumberFormat="1" applyFont="1" applyFill="1" applyBorder="1" applyAlignment="1">
      <alignment horizontal="center" vertical="center" textRotation="90" shrinkToFit="1"/>
    </xf>
    <xf numFmtId="165" fontId="21" fillId="36" borderId="61" xfId="2" applyNumberFormat="1" applyFont="1" applyFill="1" applyBorder="1" applyAlignment="1">
      <alignment horizontal="center" vertical="center" textRotation="90" wrapText="1" shrinkToFit="1"/>
    </xf>
    <xf numFmtId="2" fontId="21" fillId="36" borderId="61" xfId="2" applyNumberFormat="1" applyFont="1" applyFill="1" applyBorder="1" applyAlignment="1">
      <alignment horizontal="center" vertical="center" textRotation="90" wrapText="1" shrinkToFit="1"/>
    </xf>
    <xf numFmtId="49" fontId="12" fillId="36" borderId="63" xfId="2" applyNumberFormat="1" applyFont="1" applyFill="1" applyBorder="1" applyAlignment="1">
      <alignment horizontal="center"/>
    </xf>
    <xf numFmtId="0" fontId="19" fillId="36" borderId="179" xfId="2" applyFont="1" applyFill="1" applyBorder="1" applyAlignment="1">
      <alignment horizontal="center" wrapText="1"/>
    </xf>
    <xf numFmtId="0" fontId="21" fillId="36" borderId="65" xfId="2" applyFont="1" applyFill="1" applyBorder="1" applyAlignment="1">
      <alignment horizontal="center" vertical="center" textRotation="90" shrinkToFit="1"/>
    </xf>
    <xf numFmtId="165" fontId="21" fillId="36" borderId="63" xfId="2" applyNumberFormat="1" applyFont="1" applyFill="1" applyBorder="1" applyAlignment="1">
      <alignment horizontal="center" vertical="center" textRotation="90" shrinkToFit="1"/>
    </xf>
    <xf numFmtId="9" fontId="21" fillId="36" borderId="64" xfId="2" applyNumberFormat="1" applyFont="1" applyFill="1" applyBorder="1" applyAlignment="1">
      <alignment horizontal="center" vertical="center" textRotation="90" shrinkToFit="1"/>
    </xf>
    <xf numFmtId="165" fontId="21" fillId="36" borderId="64" xfId="2" applyNumberFormat="1" applyFont="1" applyFill="1" applyBorder="1" applyAlignment="1">
      <alignment horizontal="center" vertical="center" textRotation="90" shrinkToFit="1"/>
    </xf>
    <xf numFmtId="0" fontId="19" fillId="36" borderId="64" xfId="2" applyFont="1" applyFill="1" applyBorder="1" applyAlignment="1">
      <alignment vertical="center"/>
    </xf>
    <xf numFmtId="9" fontId="19" fillId="36" borderId="105" xfId="2" applyNumberFormat="1" applyFont="1" applyFill="1" applyBorder="1" applyAlignment="1">
      <alignment vertical="center"/>
    </xf>
    <xf numFmtId="2" fontId="19" fillId="36" borderId="65" xfId="2" applyNumberFormat="1" applyFont="1" applyFill="1" applyBorder="1" applyAlignment="1">
      <alignment vertical="center"/>
    </xf>
    <xf numFmtId="0" fontId="19" fillId="36" borderId="63" xfId="2" applyFont="1" applyFill="1" applyBorder="1" applyAlignment="1">
      <alignment vertical="center"/>
    </xf>
    <xf numFmtId="9" fontId="19" fillId="36" borderId="64" xfId="2" applyNumberFormat="1" applyFont="1" applyFill="1" applyBorder="1" applyAlignment="1">
      <alignment vertical="center"/>
    </xf>
    <xf numFmtId="2" fontId="19" fillId="36" borderId="170" xfId="2" applyNumberFormat="1" applyFont="1" applyFill="1" applyBorder="1" applyAlignment="1">
      <alignment vertical="center"/>
    </xf>
    <xf numFmtId="1" fontId="19" fillId="36" borderId="63" xfId="2" applyNumberFormat="1" applyFont="1" applyFill="1" applyBorder="1" applyAlignment="1">
      <alignment vertical="center"/>
    </xf>
    <xf numFmtId="1" fontId="19" fillId="36" borderId="170" xfId="2" applyNumberFormat="1" applyFont="1" applyFill="1" applyBorder="1" applyAlignment="1">
      <alignment vertical="center"/>
    </xf>
    <xf numFmtId="1" fontId="19" fillId="36" borderId="64" xfId="2" applyNumberFormat="1" applyFont="1" applyFill="1" applyBorder="1" applyAlignment="1">
      <alignment vertical="center"/>
    </xf>
    <xf numFmtId="165" fontId="19" fillId="36" borderId="63" xfId="2" applyNumberFormat="1" applyFont="1" applyFill="1" applyBorder="1" applyAlignment="1">
      <alignment horizontal="center" vertical="center"/>
    </xf>
    <xf numFmtId="165" fontId="19" fillId="36" borderId="64" xfId="2" applyNumberFormat="1" applyFont="1" applyFill="1" applyBorder="1" applyAlignment="1">
      <alignment horizontal="center" vertical="center"/>
    </xf>
    <xf numFmtId="2" fontId="19" fillId="36" borderId="65" xfId="2" applyNumberFormat="1" applyFont="1" applyFill="1" applyBorder="1" applyAlignment="1">
      <alignment horizontal="center" vertical="center"/>
    </xf>
    <xf numFmtId="0" fontId="19" fillId="36" borderId="65" xfId="2" applyFont="1" applyFill="1" applyBorder="1" applyAlignment="1">
      <alignment vertical="center"/>
    </xf>
    <xf numFmtId="0" fontId="19" fillId="36" borderId="170" xfId="2" applyFont="1" applyFill="1" applyBorder="1" applyAlignment="1">
      <alignment vertical="center"/>
    </xf>
    <xf numFmtId="165" fontId="19" fillId="36" borderId="170" xfId="2" applyNumberFormat="1" applyFont="1" applyFill="1" applyBorder="1" applyAlignment="1">
      <alignment vertical="center"/>
    </xf>
    <xf numFmtId="9" fontId="19" fillId="36" borderId="170" xfId="2" applyNumberFormat="1" applyFont="1" applyFill="1" applyBorder="1" applyAlignment="1">
      <alignment vertical="center"/>
    </xf>
    <xf numFmtId="165" fontId="19" fillId="36" borderId="64" xfId="2" applyNumberFormat="1" applyFont="1" applyFill="1" applyBorder="1" applyAlignment="1">
      <alignment vertical="center"/>
    </xf>
    <xf numFmtId="9" fontId="19" fillId="36" borderId="65" xfId="2" applyNumberFormat="1" applyFont="1" applyFill="1" applyBorder="1" applyAlignment="1">
      <alignment vertical="center"/>
    </xf>
    <xf numFmtId="2" fontId="19" fillId="37" borderId="13" xfId="2" applyNumberFormat="1" applyFont="1" applyFill="1" applyBorder="1" applyAlignment="1"/>
    <xf numFmtId="2" fontId="19" fillId="37" borderId="14" xfId="2" applyNumberFormat="1" applyFont="1" applyFill="1" applyBorder="1" applyAlignment="1"/>
    <xf numFmtId="2" fontId="19" fillId="37" borderId="17" xfId="2" applyNumberFormat="1" applyFont="1" applyFill="1" applyBorder="1" applyAlignment="1"/>
    <xf numFmtId="0" fontId="14" fillId="38" borderId="7" xfId="2" applyFont="1" applyFill="1" applyBorder="1" applyAlignment="1">
      <alignment horizontal="center"/>
    </xf>
    <xf numFmtId="0" fontId="20" fillId="36" borderId="11" xfId="2" applyFont="1" applyFill="1" applyBorder="1" applyAlignment="1">
      <alignment horizontal="center" vertical="center"/>
    </xf>
    <xf numFmtId="0" fontId="14" fillId="36" borderId="60" xfId="2" applyFont="1" applyFill="1" applyBorder="1" applyAlignment="1">
      <alignment horizontal="center" vertical="center"/>
    </xf>
    <xf numFmtId="0" fontId="20" fillId="36"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6" borderId="60" xfId="2" applyNumberFormat="1" applyFont="1" applyFill="1" applyBorder="1" applyAlignment="1">
      <alignment horizontal="center"/>
    </xf>
    <xf numFmtId="0" fontId="14" fillId="36" borderId="61" xfId="2" applyFont="1" applyFill="1" applyBorder="1" applyAlignment="1">
      <alignment horizontal="center"/>
    </xf>
    <xf numFmtId="9" fontId="14" fillId="36" borderId="61" xfId="2" applyNumberFormat="1" applyFont="1" applyFill="1" applyBorder="1" applyAlignment="1">
      <alignment horizontal="center"/>
    </xf>
    <xf numFmtId="0" fontId="14" fillId="36"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73" borderId="0" xfId="2" applyFont="1" applyFill="1" applyAlignment="1">
      <alignment horizontal="center"/>
    </xf>
    <xf numFmtId="49" fontId="14" fillId="73" borderId="0" xfId="2" applyNumberFormat="1" applyFont="1" applyFill="1"/>
    <xf numFmtId="0" fontId="14" fillId="73" borderId="0" xfId="2" applyNumberFormat="1" applyFont="1" applyFill="1"/>
    <xf numFmtId="0" fontId="14" fillId="9" borderId="0" xfId="2" applyFont="1" applyFill="1"/>
    <xf numFmtId="0" fontId="14" fillId="74" borderId="0" xfId="2" applyFont="1" applyFill="1"/>
    <xf numFmtId="0" fontId="14" fillId="37" borderId="0" xfId="2" applyFont="1" applyFill="1" applyAlignment="1">
      <alignment horizontal="center"/>
    </xf>
    <xf numFmtId="0" fontId="14" fillId="69" borderId="0" xfId="2" applyFont="1" applyFill="1" applyAlignment="1">
      <alignment horizontal="center"/>
    </xf>
    <xf numFmtId="0" fontId="14" fillId="78" borderId="0" xfId="2" applyFont="1" applyFill="1" applyAlignment="1">
      <alignment horizontal="center"/>
    </xf>
    <xf numFmtId="0" fontId="14" fillId="79" borderId="0" xfId="2" applyFont="1" applyFill="1"/>
    <xf numFmtId="0" fontId="14" fillId="80" borderId="0" xfId="2" applyFont="1" applyFill="1"/>
    <xf numFmtId="0" fontId="14" fillId="63" borderId="0" xfId="2" applyFont="1" applyFill="1" applyAlignment="1">
      <alignment horizontal="center"/>
    </xf>
    <xf numFmtId="0" fontId="14" fillId="18" borderId="0" xfId="2" applyFont="1" applyFill="1"/>
    <xf numFmtId="0" fontId="14" fillId="70" borderId="0" xfId="2" applyFont="1" applyFill="1" applyAlignment="1">
      <alignment horizontal="center" wrapText="1"/>
    </xf>
    <xf numFmtId="0" fontId="14" fillId="9" borderId="0" xfId="2" applyFont="1" applyFill="1" applyAlignment="1">
      <alignment horizontal="center"/>
    </xf>
    <xf numFmtId="0" fontId="14" fillId="74" borderId="0" xfId="2" applyFont="1" applyFill="1" applyAlignment="1">
      <alignment horizontal="center"/>
    </xf>
    <xf numFmtId="0" fontId="14" fillId="71" borderId="0" xfId="2" applyFont="1" applyFill="1" applyAlignment="1">
      <alignment horizontal="center"/>
    </xf>
    <xf numFmtId="0" fontId="14" fillId="75" borderId="0" xfId="2" applyFont="1" applyFill="1" applyAlignment="1">
      <alignment horizontal="center"/>
    </xf>
    <xf numFmtId="0" fontId="14" fillId="75" borderId="135" xfId="2" applyFont="1" applyFill="1" applyBorder="1" applyAlignment="1">
      <alignment horizontal="center"/>
    </xf>
    <xf numFmtId="0" fontId="14" fillId="71" borderId="135" xfId="2" applyFont="1" applyFill="1" applyBorder="1" applyAlignment="1">
      <alignment horizontal="center"/>
    </xf>
    <xf numFmtId="0" fontId="14" fillId="77" borderId="0" xfId="2" applyFont="1" applyFill="1" applyAlignment="1">
      <alignment horizontal="center"/>
    </xf>
    <xf numFmtId="0" fontId="17" fillId="76" borderId="0" xfId="2" applyFont="1" applyFill="1" applyAlignment="1">
      <alignment horizontal="center"/>
    </xf>
    <xf numFmtId="0" fontId="14" fillId="75" borderId="151" xfId="2" applyFont="1" applyFill="1" applyBorder="1" applyAlignment="1">
      <alignment horizontal="center"/>
    </xf>
    <xf numFmtId="0" fontId="14" fillId="9" borderId="188" xfId="2" applyFont="1" applyFill="1" applyBorder="1" applyAlignment="1">
      <alignment horizontal="center"/>
    </xf>
    <xf numFmtId="0" fontId="14" fillId="74" borderId="188" xfId="2" applyFont="1" applyFill="1" applyBorder="1" applyAlignment="1">
      <alignment horizontal="center"/>
    </xf>
    <xf numFmtId="0" fontId="14" fillId="69" borderId="188" xfId="2" applyFont="1" applyFill="1" applyBorder="1" applyAlignment="1">
      <alignment horizontal="center"/>
    </xf>
    <xf numFmtId="0" fontId="14" fillId="77" borderId="188" xfId="2" applyFont="1" applyFill="1" applyBorder="1" applyAlignment="1">
      <alignment horizontal="center"/>
    </xf>
    <xf numFmtId="0" fontId="20" fillId="37" borderId="0" xfId="2" applyFont="1" applyFill="1" applyBorder="1" applyAlignment="1">
      <alignment horizontal="center" vertical="center"/>
    </xf>
    <xf numFmtId="0" fontId="58" fillId="37" borderId="0" xfId="2" applyFont="1" applyFill="1" applyBorder="1" applyAlignment="1">
      <alignment horizontal="center" vertical="center"/>
    </xf>
    <xf numFmtId="0" fontId="14" fillId="37"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60" borderId="0" xfId="2" applyFont="1" applyFill="1" applyBorder="1" applyAlignment="1">
      <alignment vertical="center"/>
    </xf>
    <xf numFmtId="0" fontId="14" fillId="60" borderId="0" xfId="2" applyFont="1" applyFill="1" applyBorder="1" applyAlignment="1">
      <alignment horizontal="center" vertical="center"/>
    </xf>
    <xf numFmtId="49" fontId="14" fillId="60" borderId="0" xfId="2" applyNumberFormat="1" applyFont="1" applyFill="1" applyBorder="1" applyAlignment="1">
      <alignment horizontal="center" vertical="center"/>
    </xf>
    <xf numFmtId="0" fontId="14" fillId="61" borderId="0" xfId="2" applyFont="1" applyFill="1" applyBorder="1" applyAlignment="1">
      <alignment horizontal="center" vertical="center"/>
    </xf>
    <xf numFmtId="0" fontId="14" fillId="61" borderId="0" xfId="2" applyFont="1" applyFill="1" applyBorder="1" applyAlignment="1">
      <alignment horizontal="center"/>
    </xf>
    <xf numFmtId="0" fontId="14" fillId="62" borderId="0" xfId="2" applyFont="1" applyFill="1" applyBorder="1" applyAlignment="1">
      <alignment horizontal="center" vertical="center"/>
    </xf>
    <xf numFmtId="0" fontId="14" fillId="66" borderId="0" xfId="2" applyFont="1" applyFill="1" applyBorder="1" applyAlignment="1">
      <alignment horizontal="center" vertical="center"/>
    </xf>
    <xf numFmtId="0" fontId="58" fillId="56"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63" borderId="0" xfId="2" applyFont="1" applyFill="1" applyBorder="1" applyAlignment="1">
      <alignment horizontal="center" vertical="center"/>
    </xf>
    <xf numFmtId="0" fontId="14" fillId="37" borderId="0" xfId="2" applyFont="1" applyFill="1" applyBorder="1" applyAlignment="1">
      <alignment vertical="center"/>
    </xf>
    <xf numFmtId="0" fontId="14" fillId="63" borderId="0" xfId="2" applyFont="1" applyFill="1" applyBorder="1" applyAlignment="1">
      <alignment vertical="center"/>
    </xf>
    <xf numFmtId="0" fontId="14" fillId="56" borderId="0" xfId="2" applyFont="1" applyFill="1" applyBorder="1" applyAlignment="1">
      <alignment horizontal="center"/>
    </xf>
    <xf numFmtId="0" fontId="14" fillId="65" borderId="0" xfId="2" applyFont="1" applyFill="1" applyBorder="1" applyAlignment="1">
      <alignment horizontal="center" vertical="center"/>
    </xf>
    <xf numFmtId="0" fontId="14" fillId="33"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6" borderId="63" xfId="2" applyFont="1" applyFill="1" applyBorder="1" applyAlignment="1">
      <alignment horizontal="center" vertical="center" textRotation="90"/>
    </xf>
    <xf numFmtId="0" fontId="14" fillId="36"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6"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9" borderId="180" xfId="2" applyFont="1" applyFill="1" applyBorder="1" applyAlignment="1">
      <alignment horizontal="center" vertical="center"/>
    </xf>
    <xf numFmtId="0" fontId="14" fillId="39" borderId="181" xfId="2" applyFont="1" applyFill="1" applyBorder="1" applyAlignment="1">
      <alignment horizontal="center" vertical="center"/>
    </xf>
    <xf numFmtId="0" fontId="14" fillId="39" borderId="182" xfId="2" applyFont="1" applyFill="1" applyBorder="1" applyAlignment="1">
      <alignment horizontal="center" vertical="center"/>
    </xf>
    <xf numFmtId="0" fontId="14" fillId="39"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8" borderId="33" xfId="2" applyFont="1" applyFill="1" applyBorder="1" applyAlignment="1">
      <alignment horizontal="center" vertical="center"/>
    </xf>
    <xf numFmtId="0" fontId="14" fillId="36"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8"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8" borderId="35" xfId="2" applyNumberFormat="1" applyFont="1" applyFill="1" applyBorder="1" applyAlignment="1">
      <alignment horizontal="center" vertical="center"/>
    </xf>
    <xf numFmtId="0" fontId="14" fillId="38"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40" borderId="33" xfId="2" applyNumberFormat="1" applyFont="1" applyFill="1" applyBorder="1" applyAlignment="1">
      <alignment horizontal="center" vertical="center"/>
    </xf>
    <xf numFmtId="0" fontId="14" fillId="36"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5" borderId="95" xfId="3"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55" borderId="48" xfId="3" applyFont="1" applyFill="1" applyBorder="1" applyAlignment="1">
      <alignment horizontal="center" vertical="center"/>
    </xf>
    <xf numFmtId="0" fontId="14" fillId="33" borderId="154" xfId="3" applyFont="1" applyFill="1" applyBorder="1" applyAlignment="1">
      <alignment horizontal="center" vertical="center"/>
    </xf>
    <xf numFmtId="0" fontId="14" fillId="33" borderId="155" xfId="3" applyFont="1" applyFill="1" applyBorder="1" applyAlignment="1">
      <alignment horizontal="center" vertical="center"/>
    </xf>
    <xf numFmtId="0" fontId="14" fillId="33" borderId="156" xfId="3" applyFont="1" applyFill="1" applyBorder="1" applyAlignment="1">
      <alignment horizontal="center" vertical="center"/>
    </xf>
    <xf numFmtId="0" fontId="14" fillId="33" borderId="157" xfId="3" applyFont="1" applyFill="1" applyBorder="1" applyAlignment="1">
      <alignment horizontal="center" vertical="center"/>
    </xf>
    <xf numFmtId="0" fontId="14" fillId="33" borderId="159" xfId="3" applyFont="1" applyFill="1" applyBorder="1" applyAlignment="1">
      <alignment horizontal="center" vertical="center"/>
    </xf>
    <xf numFmtId="0" fontId="14" fillId="33" borderId="160" xfId="3" applyFont="1" applyFill="1" applyBorder="1" applyAlignment="1">
      <alignment horizontal="center" vertical="center"/>
    </xf>
    <xf numFmtId="0" fontId="14" fillId="33" borderId="161" xfId="3" applyFont="1" applyFill="1" applyBorder="1" applyAlignment="1">
      <alignment horizontal="center" vertical="center"/>
    </xf>
    <xf numFmtId="0" fontId="14" fillId="33" borderId="162" xfId="3" applyFont="1" applyFill="1" applyBorder="1" applyAlignment="1">
      <alignment horizontal="center" vertical="center"/>
    </xf>
    <xf numFmtId="49" fontId="24" fillId="34" borderId="13" xfId="2" applyNumberFormat="1" applyFont="1" applyFill="1" applyBorder="1" applyAlignment="1" applyProtection="1">
      <alignment horizontal="center" vertical="center"/>
      <protection locked="0"/>
    </xf>
    <xf numFmtId="49" fontId="24" fillId="34" borderId="48" xfId="2" applyNumberFormat="1" applyFont="1" applyFill="1" applyBorder="1" applyAlignment="1" applyProtection="1">
      <alignment horizontal="center" vertical="center"/>
      <protection locked="0"/>
    </xf>
    <xf numFmtId="49" fontId="24" fillId="34" borderId="24" xfId="2" applyNumberFormat="1" applyFont="1" applyFill="1" applyBorder="1" applyAlignment="1" applyProtection="1">
      <alignment horizontal="center" vertical="center"/>
      <protection locked="0"/>
    </xf>
    <xf numFmtId="49" fontId="24" fillId="34"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6" borderId="35" xfId="2" applyFont="1" applyFill="1" applyBorder="1" applyAlignment="1">
      <alignment horizontal="center" shrinkToFit="1"/>
    </xf>
    <xf numFmtId="0" fontId="14" fillId="26"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1" fillId="17" borderId="90" xfId="2" applyFont="1" applyFill="1" applyBorder="1" applyAlignment="1">
      <alignment horizontal="center" vertical="center"/>
    </xf>
    <xf numFmtId="0" fontId="77" fillId="49" borderId="90" xfId="2" applyFont="1" applyFill="1" applyBorder="1" applyAlignment="1">
      <alignment horizontal="center" vertical="center" wrapText="1"/>
    </xf>
    <xf numFmtId="0" fontId="77" fillId="47" borderId="89" xfId="2" applyFont="1" applyFill="1" applyBorder="1" applyAlignment="1">
      <alignment horizontal="center" vertical="center" wrapText="1"/>
    </xf>
    <xf numFmtId="0" fontId="77" fillId="47" borderId="90" xfId="2" applyFont="1" applyFill="1" applyBorder="1" applyAlignment="1">
      <alignment horizontal="center" vertical="center" wrapText="1"/>
    </xf>
    <xf numFmtId="0" fontId="77" fillId="47" borderId="91" xfId="2" applyFont="1" applyFill="1" applyBorder="1" applyAlignment="1">
      <alignment horizontal="center" vertical="center" wrapText="1"/>
    </xf>
    <xf numFmtId="0" fontId="77" fillId="49" borderId="89" xfId="2" applyFont="1" applyFill="1" applyBorder="1" applyAlignment="1">
      <alignment horizontal="center" vertical="center" wrapText="1"/>
    </xf>
    <xf numFmtId="0" fontId="77" fillId="49" borderId="108" xfId="2" applyFont="1" applyFill="1" applyBorder="1" applyAlignment="1">
      <alignment horizontal="center" vertical="center" wrapText="1"/>
    </xf>
    <xf numFmtId="0" fontId="77" fillId="49" borderId="109" xfId="2" applyFont="1" applyFill="1" applyBorder="1" applyAlignment="1">
      <alignment horizontal="center" vertical="center" wrapText="1"/>
    </xf>
    <xf numFmtId="0" fontId="77" fillId="49" borderId="2" xfId="2" applyFont="1" applyFill="1" applyBorder="1" applyAlignment="1">
      <alignment horizontal="center" vertical="center" wrapText="1"/>
    </xf>
    <xf numFmtId="49" fontId="82" fillId="4" borderId="48" xfId="5" applyNumberFormat="1" applyFont="1" applyFill="1" applyBorder="1" applyAlignment="1" applyProtection="1">
      <alignment horizontal="center" wrapText="1" shrinkToFit="1"/>
      <protection locked="0"/>
    </xf>
    <xf numFmtId="0" fontId="82" fillId="4" borderId="21" xfId="6" applyFont="1" applyFill="1" applyBorder="1" applyAlignment="1" applyProtection="1">
      <alignment horizontal="left"/>
      <protection locked="0"/>
    </xf>
    <xf numFmtId="0" fontId="82" fillId="4" borderId="37" xfId="6" applyFont="1" applyFill="1" applyBorder="1" applyAlignment="1">
      <alignment horizontal="left"/>
    </xf>
    <xf numFmtId="0" fontId="82" fillId="4" borderId="22" xfId="6" applyFont="1" applyFill="1" applyBorder="1" applyAlignment="1">
      <alignment horizontal="left"/>
    </xf>
    <xf numFmtId="49" fontId="82" fillId="9" borderId="35" xfId="2" applyNumberFormat="1" applyFont="1" applyFill="1" applyBorder="1" applyAlignment="1">
      <alignment horizontal="center" shrinkToFit="1"/>
    </xf>
    <xf numFmtId="0" fontId="82" fillId="0" borderId="18" xfId="2" applyFont="1" applyBorder="1" applyAlignment="1">
      <alignment shrinkToFit="1"/>
    </xf>
    <xf numFmtId="0" fontId="82" fillId="0" borderId="21" xfId="2" applyFont="1" applyBorder="1" applyAlignment="1">
      <alignment shrinkToFit="1"/>
    </xf>
    <xf numFmtId="0" fontId="82" fillId="9" borderId="35" xfId="2" applyFont="1" applyFill="1" applyBorder="1" applyAlignment="1">
      <alignment horizontal="center" vertical="center" shrinkToFit="1"/>
    </xf>
    <xf numFmtId="0" fontId="82" fillId="26" borderId="35" xfId="2" applyFont="1" applyFill="1" applyBorder="1" applyAlignment="1">
      <alignment horizontal="center" shrinkToFit="1"/>
    </xf>
    <xf numFmtId="0" fontId="82" fillId="26" borderId="33" xfId="2" applyFont="1" applyFill="1" applyBorder="1" applyAlignment="1">
      <alignment horizontal="center"/>
    </xf>
    <xf numFmtId="0" fontId="82" fillId="48" borderId="35" xfId="2" applyFont="1" applyFill="1" applyBorder="1" applyAlignment="1">
      <alignment horizontal="center"/>
    </xf>
    <xf numFmtId="0" fontId="82" fillId="48" borderId="18" xfId="2" applyFont="1" applyFill="1" applyBorder="1" applyAlignment="1">
      <alignment horizontal="center"/>
    </xf>
    <xf numFmtId="0" fontId="82" fillId="48" borderId="33" xfId="2" applyFont="1" applyFill="1" applyBorder="1" applyAlignment="1">
      <alignment horizontal="center"/>
    </xf>
    <xf numFmtId="0" fontId="11" fillId="17" borderId="131" xfId="2" applyFont="1" applyFill="1" applyBorder="1" applyAlignment="1">
      <alignment horizontal="center" vertical="center"/>
    </xf>
    <xf numFmtId="0" fontId="14" fillId="25" borderId="140"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81" fillId="4" borderId="35" xfId="5" applyFont="1" applyFill="1" applyBorder="1" applyAlignment="1">
      <alignment horizontal="center"/>
    </xf>
    <xf numFmtId="0" fontId="81" fillId="4" borderId="18" xfId="5" applyFont="1" applyFill="1" applyBorder="1" applyAlignment="1">
      <alignment horizontal="center"/>
    </xf>
    <xf numFmtId="0" fontId="81" fillId="4" borderId="33" xfId="5" applyFont="1" applyFill="1" applyBorder="1" applyAlignment="1">
      <alignment horizontal="center"/>
    </xf>
    <xf numFmtId="0" fontId="81" fillId="4" borderId="23" xfId="5" applyFont="1" applyFill="1" applyBorder="1" applyAlignment="1">
      <alignment horizontal="center"/>
    </xf>
    <xf numFmtId="0" fontId="81" fillId="4" borderId="24" xfId="5" applyFont="1" applyFill="1" applyBorder="1" applyAlignment="1">
      <alignment horizontal="center"/>
    </xf>
    <xf numFmtId="0" fontId="81" fillId="4" borderId="25" xfId="5" applyFont="1" applyFill="1" applyBorder="1" applyAlignment="1">
      <alignment horizontal="center"/>
    </xf>
    <xf numFmtId="0" fontId="81" fillId="4" borderId="12" xfId="5" applyFont="1" applyFill="1" applyBorder="1" applyAlignment="1">
      <alignment horizontal="center"/>
    </xf>
    <xf numFmtId="0" fontId="81" fillId="4" borderId="13" xfId="5" applyFont="1" applyFill="1" applyBorder="1" applyAlignment="1">
      <alignment horizontal="center"/>
    </xf>
    <xf numFmtId="0" fontId="81" fillId="4" borderId="17" xfId="5" applyFont="1" applyFill="1" applyBorder="1" applyAlignment="1">
      <alignment horizontal="center"/>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80" fillId="11" borderId="11"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2" borderId="73" xfId="2" applyFont="1" applyFill="1" applyBorder="1" applyAlignment="1" applyProtection="1">
      <alignment horizontal="center" shrinkToFi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0" fillId="17" borderId="35" xfId="2"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17" borderId="10" xfId="2" applyFont="1" applyFill="1" applyBorder="1" applyAlignment="1">
      <alignment horizontal="center"/>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8" borderId="26" xfId="2" applyFont="1" applyFill="1" applyBorder="1" applyAlignment="1">
      <alignment horizontal="center"/>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7" borderId="26" xfId="2" applyFont="1" applyFill="1" applyBorder="1" applyAlignment="1">
      <alignment horizontal="center"/>
    </xf>
    <xf numFmtId="0" fontId="10" fillId="16" borderId="79" xfId="2" applyFont="1" applyFill="1" applyBorder="1" applyAlignment="1">
      <alignment horizontal="center"/>
    </xf>
    <xf numFmtId="0" fontId="10" fillId="16" borderId="13" xfId="2" applyFont="1" applyFill="1" applyBorder="1" applyAlignment="1" applyProtection="1">
      <alignment horizontal="center"/>
      <protection locked="0"/>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6"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6"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17" borderId="39" xfId="2" applyFont="1" applyFill="1" applyBorder="1" applyAlignment="1" applyProtection="1">
      <alignment horizontal="center"/>
      <protection locked="0"/>
    </xf>
    <xf numFmtId="0" fontId="10" fillId="17" borderId="83"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7"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6" borderId="90"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7" borderId="27" xfId="2" applyFont="1" applyFill="1" applyBorder="1" applyAlignment="1">
      <alignment horizontal="center"/>
    </xf>
    <xf numFmtId="0" fontId="10" fillId="16" borderId="92" xfId="2" applyFont="1" applyFill="1" applyBorder="1" applyAlignment="1" applyProtection="1">
      <alignment horizontal="center"/>
      <protection locked="0"/>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0" fillId="15" borderId="105"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3" xfId="2" applyFont="1" applyFill="1" applyBorder="1" applyAlignment="1">
      <alignment horizontal="center" vertical="center"/>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5" xfId="2" applyFont="1" applyFill="1" applyBorder="1" applyAlignment="1">
      <alignment horizontal="center" vertical="center"/>
    </xf>
    <xf numFmtId="0" fontId="11" fillId="17" borderId="90"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7" borderId="35" xfId="2" applyNumberFormat="1" applyFont="1" applyFill="1" applyBorder="1" applyAlignment="1" applyProtection="1">
      <alignment horizontal="center"/>
      <protection locked="0"/>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5"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7" borderId="125"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1" fillId="17" borderId="95" xfId="2" applyFont="1" applyFill="1" applyBorder="1" applyAlignment="1">
      <alignment horizontal="center" vertical="center" shrinkToFit="1"/>
    </xf>
    <xf numFmtId="0" fontId="10" fillId="16"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6" borderId="35"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1" fillId="17" borderId="111" xfId="2" applyFont="1" applyFill="1" applyBorder="1" applyAlignment="1">
      <alignment horizontal="center" vertical="center"/>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0" fillId="16" borderId="46" xfId="2" applyFont="1" applyFill="1" applyBorder="1" applyAlignment="1" applyProtection="1">
      <alignment horizontal="center"/>
      <protection locked="0"/>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1" fillId="17" borderId="128" xfId="2" applyFont="1" applyFill="1" applyBorder="1" applyAlignment="1">
      <alignment horizontal="center" vertical="center" shrinkToFit="1"/>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0" fillId="15" borderId="105" xfId="2" applyFont="1" applyFill="1" applyBorder="1" applyAlignment="1">
      <alignment horizontal="center"/>
    </xf>
    <xf numFmtId="0" fontId="10" fillId="20" borderId="99" xfId="2" applyFont="1" applyFill="1" applyBorder="1" applyAlignment="1">
      <alignment horizont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4" fillId="26" borderId="138"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82" fillId="5" borderId="133" xfId="2" applyFont="1" applyFill="1" applyBorder="1" applyAlignment="1">
      <alignment horizontal="center" vertical="center" wrapText="1" shrinkToFit="1"/>
    </xf>
    <xf numFmtId="0" fontId="82" fillId="5" borderId="163" xfId="2" applyFont="1" applyFill="1" applyBorder="1" applyAlignment="1">
      <alignment horizontal="center" vertical="center" wrapText="1" shrinkToFit="1"/>
    </xf>
    <xf numFmtId="0" fontId="20" fillId="5" borderId="121" xfId="2" applyFont="1" applyFill="1" applyBorder="1" applyAlignment="1">
      <alignment horizontal="center" vertical="center" wrapText="1" shrinkToFit="1"/>
    </xf>
    <xf numFmtId="0" fontId="82" fillId="5" borderId="153" xfId="2" applyFont="1" applyFill="1" applyBorder="1" applyAlignment="1">
      <alignment horizontal="center" vertical="center" wrapText="1" shrinkToFit="1"/>
    </xf>
    <xf numFmtId="0" fontId="82" fillId="5" borderId="158" xfId="2" applyFont="1" applyFill="1" applyBorder="1" applyAlignment="1">
      <alignment horizontal="center" vertical="center" wrapText="1" shrinkToFit="1"/>
    </xf>
    <xf numFmtId="0" fontId="16" fillId="23" borderId="0" xfId="0" applyFont="1" applyFill="1" applyBorder="1" applyAlignment="1">
      <alignment horizontal="center" vertical="center"/>
    </xf>
    <xf numFmtId="0" fontId="33" fillId="33"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3" borderId="61" xfId="2" applyNumberFormat="1" applyFont="1" applyFill="1" applyBorder="1" applyAlignment="1" applyProtection="1">
      <alignment horizontal="center" vertical="center"/>
      <protection locked="0"/>
    </xf>
    <xf numFmtId="0" fontId="33" fillId="33" borderId="95" xfId="2" applyNumberFormat="1" applyFont="1" applyFill="1" applyBorder="1" applyAlignment="1" applyProtection="1">
      <alignment horizontal="center" vertical="center"/>
      <protection locked="0"/>
    </xf>
    <xf numFmtId="49" fontId="76" fillId="23" borderId="0" xfId="2" applyNumberFormat="1" applyFont="1" applyFill="1" applyBorder="1" applyAlignment="1" applyProtection="1">
      <alignment horizontal="center" vertical="center" shrinkToFit="1"/>
    </xf>
    <xf numFmtId="0" fontId="33" fillId="17" borderId="152" xfId="2" applyNumberFormat="1" applyFont="1" applyFill="1" applyBorder="1" applyAlignment="1" applyProtection="1">
      <alignment horizontal="center" vertical="center"/>
    </xf>
    <xf numFmtId="49" fontId="25" fillId="33" borderId="170" xfId="2" applyNumberFormat="1" applyFont="1" applyFill="1" applyBorder="1" applyAlignment="1" applyProtection="1">
      <alignment horizontal="center" vertical="center"/>
      <protection locked="0"/>
    </xf>
    <xf numFmtId="49" fontId="25" fillId="33" borderId="64" xfId="2" applyNumberFormat="1" applyFont="1" applyFill="1" applyBorder="1" applyAlignment="1" applyProtection="1">
      <alignment horizontal="center" vertical="center"/>
      <protection locked="0"/>
    </xf>
    <xf numFmtId="0" fontId="25" fillId="33" borderId="64" xfId="2" applyNumberFormat="1" applyFont="1" applyFill="1" applyBorder="1" applyAlignment="1" applyProtection="1">
      <alignment horizontal="center" vertical="center"/>
      <protection locked="0"/>
    </xf>
    <xf numFmtId="0" fontId="34" fillId="35" borderId="8" xfId="2" applyFont="1" applyFill="1" applyBorder="1" applyAlignment="1">
      <alignment horizontal="center" vertical="center" wrapText="1"/>
    </xf>
    <xf numFmtId="0" fontId="34" fillId="35"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7" borderId="61"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3" borderId="0" xfId="2" applyNumberFormat="1" applyFont="1" applyFill="1" applyBorder="1" applyAlignment="1" applyProtection="1">
      <alignment horizontal="center" vertical="center" shrinkToFit="1"/>
    </xf>
    <xf numFmtId="49" fontId="82" fillId="0" borderId="0" xfId="2" applyNumberFormat="1" applyFont="1" applyFill="1" applyBorder="1" applyAlignment="1" applyProtection="1">
      <alignment horizontal="left" vertical="center" shrinkToFit="1"/>
    </xf>
    <xf numFmtId="49" fontId="25" fillId="33" borderId="61" xfId="2" applyNumberFormat="1" applyFont="1" applyFill="1" applyBorder="1" applyAlignment="1" applyProtection="1">
      <alignment horizontal="center" vertical="center"/>
      <protection locked="0"/>
    </xf>
    <xf numFmtId="0" fontId="25" fillId="33" borderId="61" xfId="2" applyNumberFormat="1" applyFont="1" applyFill="1" applyBorder="1" applyAlignment="1" applyProtection="1">
      <alignment horizontal="center" vertical="center"/>
      <protection locked="0"/>
    </xf>
    <xf numFmtId="0" fontId="24" fillId="30"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7" borderId="173" xfId="2" applyNumberFormat="1" applyFont="1" applyFill="1" applyBorder="1" applyAlignment="1" applyProtection="1">
      <alignment horizontal="center" vertical="center"/>
    </xf>
    <xf numFmtId="167" fontId="35" fillId="30"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40" fillId="29"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7" borderId="95" xfId="2" applyNumberFormat="1" applyFont="1" applyFill="1" applyBorder="1" applyAlignment="1" applyProtection="1">
      <alignment horizontal="center" vertical="center"/>
      <protection locked="0"/>
    </xf>
    <xf numFmtId="49" fontId="82" fillId="0" borderId="0" xfId="2" applyNumberFormat="1" applyFont="1" applyFill="1" applyBorder="1" applyAlignment="1" applyProtection="1">
      <alignment horizontal="left" vertical="center" wrapText="1"/>
    </xf>
    <xf numFmtId="49" fontId="25" fillId="33" borderId="75" xfId="2" applyNumberFormat="1" applyFont="1" applyFill="1" applyBorder="1" applyAlignment="1" applyProtection="1">
      <alignment horizontal="center" vertical="center"/>
      <protection locked="0"/>
    </xf>
    <xf numFmtId="0" fontId="34" fillId="35" borderId="0" xfId="2" applyFont="1" applyFill="1" applyBorder="1" applyAlignment="1">
      <alignment horizontal="center" vertical="center" wrapText="1"/>
    </xf>
    <xf numFmtId="0" fontId="24" fillId="13" borderId="90" xfId="0" applyFont="1" applyFill="1" applyBorder="1" applyAlignment="1" applyProtection="1">
      <alignment horizontal="center" vertical="center"/>
      <protection locked="0"/>
    </xf>
    <xf numFmtId="0" fontId="40" fillId="32" borderId="0" xfId="2" applyFont="1" applyFill="1" applyAlignment="1">
      <alignment horizontal="center" vertical="center" shrinkToFi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49" fontId="82" fillId="0" borderId="0" xfId="2" applyNumberFormat="1" applyFont="1" applyFill="1" applyBorder="1" applyAlignment="1">
      <alignment horizontal="left" vertical="center"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6"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82" fillId="8" borderId="21" xfId="2" applyFont="1" applyFill="1" applyBorder="1" applyAlignment="1">
      <alignment horizontal="center" vertical="center" wrapText="1"/>
    </xf>
    <xf numFmtId="0" fontId="82" fillId="8" borderId="38" xfId="2" applyFont="1" applyFill="1" applyBorder="1" applyAlignment="1">
      <alignment horizontal="center" vertical="center" wrapText="1"/>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6"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6"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41"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4"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3" borderId="0" xfId="2" applyNumberFormat="1" applyFont="1" applyFill="1" applyBorder="1" applyAlignment="1">
      <alignment horizontal="center" shrinkToFit="1"/>
    </xf>
    <xf numFmtId="167" fontId="12" fillId="43" borderId="73" xfId="2" applyNumberFormat="1" applyFont="1" applyFill="1" applyBorder="1" applyAlignment="1">
      <alignment horizont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47" borderId="3" xfId="2" applyFont="1" applyFill="1" applyBorder="1" applyAlignment="1">
      <alignment horizontal="center" vertical="center" shrinkToFit="1"/>
    </xf>
    <xf numFmtId="0" fontId="47" fillId="47" borderId="1" xfId="2" applyFont="1" applyFill="1" applyBorder="1" applyAlignment="1">
      <alignment horizontal="center" vertical="center" shrinkToFit="1"/>
    </xf>
    <xf numFmtId="0" fontId="47" fillId="49" borderId="3" xfId="2" applyFont="1" applyFill="1" applyBorder="1" applyAlignment="1">
      <alignment horizontal="center" vertical="center" shrinkToFit="1"/>
    </xf>
    <xf numFmtId="0" fontId="47" fillId="49" borderId="108" xfId="2" applyFont="1" applyFill="1" applyBorder="1" applyAlignment="1">
      <alignment horizontal="center" vertical="center" shrinkToFit="1"/>
    </xf>
    <xf numFmtId="0" fontId="47" fillId="49" borderId="1" xfId="2" applyFont="1" applyFill="1" applyBorder="1" applyAlignment="1">
      <alignment horizontal="center" vertical="center" shrinkToFit="1"/>
    </xf>
    <xf numFmtId="0" fontId="47" fillId="47"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3"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6" borderId="0" xfId="2" applyNumberFormat="1" applyFont="1" applyFill="1" applyAlignment="1">
      <alignment horizontal="center" shrinkToFit="1"/>
    </xf>
    <xf numFmtId="167" fontId="12" fillId="26" borderId="53" xfId="2" applyNumberFormat="1" applyFont="1" applyFill="1" applyBorder="1" applyAlignment="1">
      <alignment horizontal="center" shrinkToFit="1"/>
    </xf>
    <xf numFmtId="0" fontId="11" fillId="26"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1"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40" fillId="29" borderId="53" xfId="0" applyFont="1" applyFill="1" applyBorder="1" applyAlignment="1">
      <alignment horizontal="center" vertical="center" shrinkToFit="1"/>
    </xf>
    <xf numFmtId="0" fontId="13" fillId="54" borderId="0" xfId="0" applyFont="1" applyFill="1" applyBorder="1" applyAlignment="1">
      <alignment horizontal="center" shrinkToFit="1"/>
    </xf>
    <xf numFmtId="14" fontId="14" fillId="54"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40" fillId="32" borderId="53" xfId="0" applyFont="1" applyFill="1" applyBorder="1" applyAlignment="1">
      <alignment horizontal="center" vertical="center" shrinkToFit="1"/>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13" xfId="3" applyFont="1" applyFill="1" applyBorder="1" applyAlignment="1">
      <alignment horizontal="center"/>
    </xf>
    <xf numFmtId="0" fontId="10" fillId="16" borderId="62" xfId="3" applyFont="1" applyFill="1" applyBorder="1" applyAlignment="1">
      <alignment horizontal="center"/>
    </xf>
    <xf numFmtId="0" fontId="10" fillId="16" borderId="83" xfId="3" applyFont="1" applyFill="1" applyBorder="1" applyAlignment="1">
      <alignment horizontal="center"/>
    </xf>
    <xf numFmtId="1" fontId="10" fillId="16"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2" fillId="0" borderId="53" xfId="0" applyFont="1" applyBorder="1" applyAlignment="1">
      <alignment horizontal="center" shrinkToFit="1"/>
    </xf>
    <xf numFmtId="0" fontId="40" fillId="29" borderId="0" xfId="0" applyFont="1" applyFill="1" applyBorder="1" applyAlignment="1">
      <alignment horizontal="center" vertical="center" shrinkToFit="1"/>
    </xf>
    <xf numFmtId="0" fontId="40" fillId="29"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8"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8" borderId="68" xfId="3" applyFont="1" applyFill="1" applyBorder="1" applyAlignment="1">
      <alignment horizontal="center"/>
    </xf>
    <xf numFmtId="0" fontId="40" fillId="32" borderId="0" xfId="0" applyFont="1" applyFill="1" applyBorder="1" applyAlignment="1">
      <alignment horizontal="center" vertical="center" shrinkToFit="1"/>
    </xf>
    <xf numFmtId="0" fontId="40" fillId="32"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11" borderId="26" xfId="3" applyFont="1" applyFill="1" applyBorder="1" applyAlignment="1">
      <alignment horizontal="center"/>
    </xf>
    <xf numFmtId="0" fontId="10" fillId="0" borderId="68" xfId="3" applyFont="1" applyFill="1" applyBorder="1" applyAlignment="1">
      <alignment horizontal="center"/>
    </xf>
    <xf numFmtId="0" fontId="10" fillId="55" borderId="10" xfId="3" applyFont="1" applyFill="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5" borderId="26" xfId="3" applyFont="1" applyFill="1" applyBorder="1" applyAlignment="1">
      <alignment horizontal="center"/>
    </xf>
    <xf numFmtId="1" fontId="10" fillId="17" borderId="35" xfId="3" applyNumberFormat="1" applyFont="1" applyFill="1" applyBorder="1" applyAlignment="1">
      <alignment horizontal="center"/>
    </xf>
    <xf numFmtId="0" fontId="10" fillId="17" borderId="33"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55" borderId="96" xfId="3" applyFont="1" applyFill="1" applyBorder="1" applyAlignment="1">
      <alignment horizontal="center" vertical="center"/>
    </xf>
    <xf numFmtId="0" fontId="11" fillId="55" borderId="63" xfId="3" applyFont="1" applyFill="1" applyBorder="1" applyAlignment="1">
      <alignment horizontal="center" vertical="center"/>
    </xf>
    <xf numFmtId="0" fontId="19" fillId="55" borderId="178" xfId="3" applyFont="1" applyFill="1" applyBorder="1" applyAlignment="1">
      <alignment horizontal="center" vertical="center" wrapText="1"/>
    </xf>
    <xf numFmtId="0" fontId="19" fillId="55" borderId="65" xfId="3" applyFont="1" applyFill="1" applyBorder="1" applyAlignment="1">
      <alignment horizontal="center" vertical="center" wrapText="1"/>
    </xf>
    <xf numFmtId="0" fontId="11" fillId="55" borderId="94" xfId="3" applyFont="1" applyFill="1" applyBorder="1" applyAlignment="1">
      <alignment horizontal="center" vertical="center" shrinkToFit="1"/>
    </xf>
    <xf numFmtId="0" fontId="11" fillId="55" borderId="95" xfId="3" applyFont="1" applyFill="1" applyBorder="1" applyAlignment="1">
      <alignment horizontal="center" vertical="center" shrinkToFit="1"/>
    </xf>
    <xf numFmtId="0" fontId="10" fillId="15" borderId="7" xfId="3" applyFont="1" applyFill="1" applyBorder="1" applyAlignment="1">
      <alignment horizontal="center" vertical="center"/>
    </xf>
    <xf numFmtId="0" fontId="11" fillId="55" borderId="95" xfId="3" applyFont="1" applyFill="1" applyBorder="1" applyAlignment="1">
      <alignment horizontal="center" vertical="center"/>
    </xf>
    <xf numFmtId="0" fontId="11" fillId="55" borderId="98" xfId="3" applyFont="1" applyFill="1" applyBorder="1" applyAlignment="1">
      <alignment horizontal="center" vertical="center"/>
    </xf>
    <xf numFmtId="0" fontId="11" fillId="55" borderId="7" xfId="3" applyFont="1" applyFill="1" applyBorder="1" applyAlignment="1">
      <alignment horizontal="center" vertical="center"/>
    </xf>
    <xf numFmtId="0" fontId="10" fillId="15"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5" borderId="7" xfId="3" applyFont="1" applyFill="1" applyBorder="1" applyAlignment="1">
      <alignment horizontal="center"/>
    </xf>
    <xf numFmtId="0" fontId="20" fillId="37" borderId="0" xfId="2" applyFont="1" applyFill="1" applyBorder="1" applyAlignment="1">
      <alignment horizontal="center" vertical="center" wrapText="1"/>
    </xf>
    <xf numFmtId="0" fontId="14" fillId="64" borderId="0" xfId="2" applyFont="1" applyFill="1" applyBorder="1" applyAlignment="1">
      <alignment horizontal="center" vertical="center"/>
    </xf>
    <xf numFmtId="0" fontId="14" fillId="68" borderId="0" xfId="2" applyFont="1" applyFill="1" applyBorder="1" applyAlignment="1">
      <alignment horizontal="center"/>
    </xf>
    <xf numFmtId="0" fontId="14" fillId="72" borderId="0" xfId="2" applyFont="1" applyFill="1" applyBorder="1" applyAlignment="1">
      <alignment horizontal="center" vertical="center"/>
    </xf>
    <xf numFmtId="49" fontId="14" fillId="72" borderId="0" xfId="2" applyNumberFormat="1" applyFont="1" applyFill="1" applyBorder="1" applyAlignment="1">
      <alignment horizontal="center" vertical="center"/>
    </xf>
    <xf numFmtId="0" fontId="14" fillId="72" borderId="0" xfId="2" applyFont="1" applyFill="1" applyBorder="1" applyAlignment="1">
      <alignment vertical="center"/>
    </xf>
    <xf numFmtId="0" fontId="14" fillId="67"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7" borderId="106" xfId="2" applyFont="1" applyFill="1" applyBorder="1" applyAlignment="1">
      <alignment horizontal="left"/>
    </xf>
    <xf numFmtId="0" fontId="14" fillId="37" borderId="8" xfId="2" applyFont="1" applyFill="1" applyBorder="1" applyAlignment="1">
      <alignment horizontal="left"/>
    </xf>
    <xf numFmtId="0" fontId="20" fillId="40"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15" t="s">
        <v>327</v>
      </c>
      <c r="B1" s="716"/>
      <c r="C1" s="716"/>
      <c r="D1" s="716"/>
      <c r="E1" s="716"/>
      <c r="F1" s="716"/>
      <c r="G1" s="716"/>
      <c r="H1" s="716"/>
      <c r="I1" s="716"/>
      <c r="J1" s="716"/>
      <c r="K1" s="717"/>
    </row>
    <row r="2" spans="1:95" ht="18" customHeight="1">
      <c r="A2" s="718" t="s">
        <v>328</v>
      </c>
      <c r="B2" s="719"/>
      <c r="C2" s="719"/>
      <c r="D2" s="719"/>
      <c r="E2" s="719"/>
      <c r="F2" s="719"/>
      <c r="G2" s="719"/>
      <c r="H2" s="719"/>
      <c r="I2" s="719"/>
      <c r="J2" s="719"/>
      <c r="K2" s="720"/>
    </row>
    <row r="3" spans="1:95" ht="15.75" customHeight="1">
      <c r="A3" s="721" t="s">
        <v>710</v>
      </c>
      <c r="B3" s="722"/>
      <c r="C3" s="722"/>
      <c r="D3" s="722"/>
      <c r="E3" s="722"/>
      <c r="F3" s="722"/>
      <c r="G3" s="722"/>
      <c r="H3" s="722"/>
      <c r="I3" s="722"/>
      <c r="J3" s="722"/>
      <c r="K3" s="723"/>
    </row>
    <row r="4" spans="1:95" ht="15.75" customHeight="1">
      <c r="A4" s="724" t="s">
        <v>497</v>
      </c>
      <c r="B4" s="725"/>
      <c r="C4" s="725"/>
      <c r="D4" s="725"/>
      <c r="E4" s="725"/>
      <c r="F4" s="725"/>
      <c r="G4" s="725"/>
      <c r="H4" s="725"/>
      <c r="I4" s="725"/>
      <c r="J4" s="725"/>
      <c r="K4" s="726"/>
    </row>
    <row r="5" spans="1:95" ht="15.75" customHeight="1">
      <c r="A5" s="743"/>
      <c r="B5" s="743"/>
      <c r="C5" s="743"/>
      <c r="D5" s="743"/>
      <c r="E5" s="743"/>
      <c r="F5" s="743"/>
      <c r="G5" s="743"/>
      <c r="H5" s="743"/>
      <c r="I5" s="743"/>
      <c r="J5" s="743"/>
      <c r="K5" s="743"/>
    </row>
    <row r="6" spans="1:95" ht="15.75" customHeight="1">
      <c r="A6" s="728" t="s">
        <v>659</v>
      </c>
      <c r="B6" s="728"/>
      <c r="C6" s="728"/>
      <c r="D6" s="728"/>
      <c r="E6" s="728"/>
      <c r="F6" s="728"/>
      <c r="G6" s="728"/>
      <c r="H6" s="728"/>
      <c r="I6" s="728"/>
      <c r="J6" s="728"/>
      <c r="K6" s="728"/>
    </row>
    <row r="7" spans="1:95" ht="24" customHeight="1">
      <c r="A7" s="523"/>
      <c r="B7" s="523"/>
      <c r="C7" s="523"/>
      <c r="D7" s="523"/>
      <c r="E7" s="523"/>
      <c r="F7" s="523"/>
      <c r="G7" s="523"/>
      <c r="H7" s="523"/>
      <c r="I7" s="523"/>
      <c r="J7" s="523"/>
      <c r="K7" s="523"/>
    </row>
    <row r="8" spans="1:95" ht="52.5" customHeight="1">
      <c r="A8" s="729" t="s">
        <v>685</v>
      </c>
      <c r="B8" s="729"/>
      <c r="C8" s="729"/>
      <c r="D8" s="729"/>
      <c r="E8" s="729"/>
      <c r="F8" s="729"/>
      <c r="G8" s="729"/>
      <c r="H8" s="729"/>
      <c r="I8" s="729"/>
      <c r="J8" s="729"/>
      <c r="K8" s="729"/>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27"/>
      <c r="B10" s="727"/>
      <c r="C10" s="727"/>
      <c r="D10" s="727"/>
      <c r="E10" s="727"/>
      <c r="F10" s="727"/>
      <c r="G10" s="727"/>
      <c r="H10" s="727"/>
      <c r="I10" s="727"/>
      <c r="J10" s="727"/>
      <c r="K10" s="727"/>
    </row>
    <row r="11" spans="1:95" ht="15" customHeight="1">
      <c r="A11" s="513" t="s">
        <v>335</v>
      </c>
      <c r="B11" s="731" t="s">
        <v>329</v>
      </c>
      <c r="C11" s="731"/>
      <c r="D11" s="731"/>
      <c r="E11" s="731"/>
      <c r="F11" s="731"/>
      <c r="G11" s="731"/>
      <c r="H11" s="731"/>
      <c r="I11" s="731"/>
      <c r="J11" s="731"/>
      <c r="K11" s="731"/>
    </row>
    <row r="12" spans="1:95" ht="15" customHeight="1">
      <c r="A12" s="513" t="s">
        <v>404</v>
      </c>
      <c r="B12" s="731" t="s">
        <v>330</v>
      </c>
      <c r="C12" s="731"/>
      <c r="D12" s="731"/>
      <c r="E12" s="731"/>
      <c r="F12" s="731"/>
      <c r="G12" s="731"/>
      <c r="H12" s="731"/>
      <c r="I12" s="731"/>
      <c r="J12" s="731"/>
      <c r="K12" s="731"/>
    </row>
    <row r="13" spans="1:95" ht="15" customHeight="1">
      <c r="A13" s="513" t="s">
        <v>407</v>
      </c>
      <c r="B13" s="731" t="s">
        <v>331</v>
      </c>
      <c r="C13" s="731"/>
      <c r="D13" s="731"/>
      <c r="E13" s="731"/>
      <c r="F13" s="731"/>
      <c r="G13" s="731"/>
      <c r="H13" s="731"/>
      <c r="I13" s="731"/>
      <c r="J13" s="731"/>
      <c r="K13" s="731"/>
    </row>
    <row r="14" spans="1:95" ht="9" customHeight="1" thickBot="1">
      <c r="A14" s="181"/>
      <c r="B14" s="732"/>
      <c r="C14" s="732"/>
      <c r="D14" s="732"/>
      <c r="E14" s="732"/>
      <c r="F14" s="732"/>
      <c r="G14" s="732"/>
      <c r="H14" s="732"/>
      <c r="I14" s="732"/>
      <c r="J14" s="732"/>
      <c r="K14" s="732"/>
    </row>
    <row r="15" spans="1:95" ht="36" customHeight="1" thickBot="1">
      <c r="A15" s="733" t="s">
        <v>679</v>
      </c>
      <c r="B15" s="733"/>
      <c r="C15" s="733"/>
      <c r="D15" s="733"/>
      <c r="E15" s="733"/>
      <c r="F15" s="733"/>
      <c r="G15" s="733"/>
      <c r="H15" s="733"/>
      <c r="I15" s="733"/>
      <c r="J15" s="733"/>
      <c r="K15" s="733"/>
    </row>
    <row r="16" spans="1:95" ht="9" customHeight="1">
      <c r="A16" s="514"/>
      <c r="B16" s="514"/>
      <c r="C16" s="514"/>
      <c r="D16" s="514"/>
      <c r="E16" s="514"/>
      <c r="F16" s="514"/>
      <c r="G16" s="514"/>
      <c r="H16" s="514"/>
      <c r="I16" s="514"/>
      <c r="J16" s="514"/>
      <c r="K16" s="514"/>
    </row>
    <row r="17" spans="1:11" ht="18" customHeight="1">
      <c r="A17" s="734" t="s">
        <v>332</v>
      </c>
      <c r="B17" s="734"/>
      <c r="C17" s="734"/>
      <c r="D17" s="734"/>
      <c r="E17" s="734"/>
      <c r="F17" s="734"/>
      <c r="G17" s="734"/>
      <c r="H17" s="734"/>
      <c r="I17" s="734"/>
      <c r="J17" s="734"/>
      <c r="K17" s="734"/>
    </row>
    <row r="18" spans="1:11" ht="6" customHeight="1">
      <c r="A18" s="182"/>
      <c r="B18" s="182"/>
      <c r="C18" s="182"/>
      <c r="D18" s="182"/>
      <c r="E18" s="182"/>
      <c r="F18" s="182"/>
      <c r="G18" s="182"/>
      <c r="H18" s="182"/>
      <c r="I18" s="182"/>
      <c r="J18" s="182"/>
      <c r="K18" s="182"/>
    </row>
    <row r="19" spans="1:11" ht="15" customHeight="1">
      <c r="A19" s="735" t="s">
        <v>333</v>
      </c>
      <c r="B19" s="735"/>
      <c r="C19" s="735"/>
      <c r="D19" s="735"/>
      <c r="E19" s="735"/>
      <c r="F19" s="735"/>
      <c r="G19" s="735"/>
      <c r="H19" s="735"/>
      <c r="I19" s="735"/>
      <c r="J19" s="735"/>
      <c r="K19" s="735"/>
    </row>
    <row r="20" spans="1:11" ht="15" customHeight="1">
      <c r="A20" s="730" t="s">
        <v>656</v>
      </c>
      <c r="B20" s="730"/>
      <c r="C20" s="730"/>
      <c r="D20" s="730"/>
      <c r="E20" s="730"/>
      <c r="F20" s="730"/>
      <c r="G20" s="730"/>
      <c r="H20" s="730"/>
      <c r="I20" s="730"/>
      <c r="J20" s="730"/>
      <c r="K20" s="730"/>
    </row>
    <row r="21" spans="1:11" ht="15" customHeight="1">
      <c r="A21" s="13"/>
      <c r="B21" s="730" t="s">
        <v>657</v>
      </c>
      <c r="C21" s="730"/>
      <c r="D21" s="730"/>
      <c r="E21" s="730"/>
      <c r="F21" s="730"/>
      <c r="G21" s="730"/>
      <c r="H21" s="730"/>
      <c r="I21" s="16"/>
      <c r="J21" s="16"/>
      <c r="K21" s="16"/>
    </row>
    <row r="22" spans="1:11" ht="15" customHeight="1">
      <c r="A22" s="730" t="s">
        <v>658</v>
      </c>
      <c r="B22" s="730"/>
      <c r="C22" s="730"/>
      <c r="D22" s="730"/>
      <c r="E22" s="730"/>
      <c r="F22" s="730"/>
      <c r="G22" s="730"/>
      <c r="H22" s="730"/>
      <c r="I22" s="730"/>
      <c r="J22" s="730"/>
      <c r="K22" s="730"/>
    </row>
    <row r="23" spans="1:11" ht="15" customHeight="1">
      <c r="A23" s="13"/>
      <c r="B23" s="730" t="s">
        <v>707</v>
      </c>
      <c r="C23" s="730"/>
      <c r="D23" s="730"/>
      <c r="E23" s="730"/>
      <c r="F23" s="730"/>
      <c r="G23" s="730"/>
      <c r="H23" s="730"/>
      <c r="I23" s="730"/>
      <c r="J23" s="730"/>
      <c r="K23" s="730"/>
    </row>
    <row r="24" spans="1:11" ht="6.75" customHeight="1">
      <c r="A24" s="12"/>
      <c r="B24" s="12"/>
      <c r="C24" s="12"/>
      <c r="D24" s="12"/>
      <c r="E24" s="12"/>
      <c r="F24" s="12"/>
      <c r="G24" s="12"/>
      <c r="H24" s="12"/>
      <c r="I24" s="12"/>
      <c r="J24" s="12"/>
      <c r="K24" s="12"/>
    </row>
    <row r="25" spans="1:11">
      <c r="A25" s="515" t="s">
        <v>520</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35" t="s">
        <v>193</v>
      </c>
      <c r="B27" s="735"/>
      <c r="C27" s="735"/>
      <c r="D27" s="735"/>
      <c r="E27" s="17"/>
      <c r="F27" s="17"/>
      <c r="G27" s="17"/>
      <c r="H27" s="17"/>
      <c r="I27" s="17"/>
      <c r="J27" s="17"/>
      <c r="K27" s="17"/>
    </row>
    <row r="28" spans="1:11" ht="15" customHeight="1">
      <c r="A28" s="730" t="s">
        <v>717</v>
      </c>
      <c r="B28" s="730"/>
      <c r="C28" s="730"/>
      <c r="D28" s="730"/>
      <c r="E28" s="730"/>
      <c r="F28" s="730"/>
      <c r="G28" s="730"/>
      <c r="H28" s="730"/>
      <c r="I28" s="730"/>
      <c r="J28" s="730"/>
      <c r="K28" s="730"/>
    </row>
    <row r="29" spans="1:11" ht="15" customHeight="1">
      <c r="A29" s="730" t="s">
        <v>195</v>
      </c>
      <c r="B29" s="730"/>
      <c r="C29" s="730"/>
      <c r="D29" s="730"/>
      <c r="E29" s="730"/>
      <c r="F29" s="730"/>
      <c r="G29" s="730"/>
      <c r="H29" s="730"/>
      <c r="I29" s="730"/>
      <c r="J29" s="730"/>
      <c r="K29" s="730"/>
    </row>
    <row r="30" spans="1:11" ht="30" customHeight="1">
      <c r="A30" s="746" t="s">
        <v>719</v>
      </c>
      <c r="B30" s="746"/>
      <c r="C30" s="746"/>
      <c r="D30" s="746"/>
      <c r="E30" s="746"/>
      <c r="F30" s="746"/>
      <c r="G30" s="746"/>
      <c r="H30" s="746"/>
      <c r="I30" s="746"/>
      <c r="J30" s="746"/>
      <c r="K30" s="746"/>
    </row>
    <row r="31" spans="1:11" ht="6" customHeight="1">
      <c r="A31" s="183"/>
      <c r="B31" s="184"/>
      <c r="C31" s="183"/>
      <c r="D31" s="183"/>
      <c r="E31" s="185"/>
      <c r="F31" s="183"/>
      <c r="G31" s="183"/>
      <c r="H31" s="183"/>
      <c r="I31" s="183"/>
      <c r="J31" s="183"/>
      <c r="K31" s="183"/>
    </row>
    <row r="32" spans="1:11" ht="15" customHeight="1">
      <c r="A32" s="515" t="s">
        <v>334</v>
      </c>
      <c r="B32" s="13"/>
      <c r="C32" s="13"/>
      <c r="D32" s="13"/>
      <c r="E32" s="13"/>
      <c r="F32" s="13"/>
      <c r="G32" s="13"/>
      <c r="H32" s="13"/>
      <c r="I32" s="13"/>
      <c r="J32" s="13"/>
      <c r="K32" s="13"/>
    </row>
    <row r="33" spans="1:11" ht="15" customHeight="1">
      <c r="A33" s="516" t="s">
        <v>335</v>
      </c>
      <c r="B33" s="13" t="s">
        <v>343</v>
      </c>
      <c r="C33" s="13"/>
      <c r="D33" s="13"/>
      <c r="E33" s="13"/>
      <c r="F33" s="13"/>
      <c r="G33" s="13"/>
      <c r="H33" s="13"/>
      <c r="I33" s="13"/>
      <c r="J33" s="13"/>
      <c r="K33" s="13"/>
    </row>
    <row r="34" spans="1:11" ht="15" customHeight="1">
      <c r="A34" s="25"/>
      <c r="B34" s="186" t="s">
        <v>344</v>
      </c>
      <c r="C34" s="185"/>
      <c r="D34" s="185"/>
      <c r="E34" s="185"/>
      <c r="F34" s="185"/>
      <c r="G34" s="185"/>
      <c r="H34" s="185"/>
      <c r="I34" s="185"/>
      <c r="J34" s="185"/>
      <c r="K34" s="185"/>
    </row>
    <row r="35" spans="1:11" ht="15" customHeight="1">
      <c r="A35" s="516"/>
      <c r="B35" s="186" t="s">
        <v>342</v>
      </c>
      <c r="C35" s="185"/>
      <c r="D35" s="185"/>
      <c r="E35" s="185"/>
      <c r="F35" s="185"/>
      <c r="G35" s="185"/>
      <c r="H35" s="185"/>
      <c r="I35" s="185"/>
      <c r="J35" s="185"/>
      <c r="K35" s="185"/>
    </row>
    <row r="36" spans="1:11" ht="15" customHeight="1">
      <c r="A36" s="516"/>
      <c r="B36" s="186" t="s">
        <v>194</v>
      </c>
      <c r="C36" s="185"/>
      <c r="D36" s="185"/>
      <c r="E36" s="185"/>
      <c r="F36" s="185"/>
      <c r="G36" s="185"/>
      <c r="H36" s="185"/>
      <c r="I36" s="185"/>
      <c r="J36" s="185"/>
      <c r="K36" s="185"/>
    </row>
    <row r="37" spans="1:11" ht="15" customHeight="1">
      <c r="A37" s="516"/>
      <c r="B37" s="186" t="s">
        <v>339</v>
      </c>
      <c r="C37" s="185"/>
      <c r="D37" s="185"/>
      <c r="E37" s="185"/>
      <c r="F37" s="185"/>
      <c r="G37" s="185"/>
      <c r="H37" s="185"/>
      <c r="I37" s="185"/>
      <c r="J37" s="185"/>
      <c r="K37" s="185"/>
    </row>
    <row r="38" spans="1:11" ht="15" customHeight="1">
      <c r="A38" s="516"/>
      <c r="B38" s="186" t="s">
        <v>340</v>
      </c>
      <c r="C38" s="185"/>
      <c r="D38" s="185"/>
      <c r="E38" s="185"/>
      <c r="F38" s="185"/>
      <c r="G38" s="185"/>
      <c r="H38" s="185"/>
      <c r="I38" s="185"/>
      <c r="J38" s="185"/>
      <c r="K38" s="185"/>
    </row>
    <row r="39" spans="1:11" ht="15" customHeight="1">
      <c r="A39" s="516" t="s">
        <v>404</v>
      </c>
      <c r="B39" s="114" t="s">
        <v>297</v>
      </c>
      <c r="C39" s="185"/>
      <c r="D39" s="185"/>
      <c r="E39" s="185"/>
      <c r="F39" s="185"/>
      <c r="G39" s="185"/>
      <c r="H39" s="185"/>
      <c r="I39" s="185"/>
      <c r="J39" s="185"/>
      <c r="K39" s="185"/>
    </row>
    <row r="40" spans="1:11" ht="15" customHeight="1">
      <c r="A40" s="516"/>
      <c r="B40" s="186" t="s">
        <v>296</v>
      </c>
      <c r="C40" s="185"/>
      <c r="D40" s="185"/>
      <c r="E40" s="185"/>
      <c r="F40" s="185"/>
      <c r="G40" s="185"/>
      <c r="H40" s="185"/>
      <c r="I40" s="185"/>
      <c r="J40" s="185"/>
      <c r="K40" s="185"/>
    </row>
    <row r="41" spans="1:11" ht="15" customHeight="1">
      <c r="A41" s="516" t="s">
        <v>407</v>
      </c>
      <c r="B41" s="186" t="s">
        <v>391</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45" t="s">
        <v>720</v>
      </c>
      <c r="B43" s="745"/>
      <c r="C43" s="745"/>
      <c r="D43" s="745"/>
      <c r="E43" s="745"/>
      <c r="F43" s="745"/>
      <c r="G43" s="745"/>
      <c r="H43" s="745"/>
      <c r="I43" s="745"/>
      <c r="J43" s="745"/>
      <c r="K43" s="745"/>
    </row>
    <row r="44" spans="1:11" ht="12.75" customHeight="1">
      <c r="A44" s="745" t="s">
        <v>433</v>
      </c>
      <c r="B44" s="745"/>
      <c r="C44" s="745"/>
      <c r="D44" s="745"/>
      <c r="E44" s="745"/>
      <c r="F44" s="745"/>
      <c r="G44" s="745"/>
      <c r="H44" s="745"/>
      <c r="I44" s="745"/>
      <c r="J44" s="745"/>
      <c r="K44" s="745"/>
    </row>
    <row r="45" spans="1:11" ht="15" customHeight="1">
      <c r="A45" s="516"/>
      <c r="B45" s="186"/>
      <c r="C45" s="185"/>
      <c r="D45" s="185"/>
      <c r="E45" s="185"/>
      <c r="F45" s="185"/>
      <c r="G45" s="185"/>
      <c r="H45" s="185"/>
      <c r="I45" s="185"/>
      <c r="J45" s="185"/>
      <c r="K45" s="185"/>
    </row>
    <row r="46" spans="1:11" ht="15" customHeight="1">
      <c r="A46" s="747" t="s">
        <v>336</v>
      </c>
      <c r="B46" s="747"/>
      <c r="C46" s="747"/>
      <c r="D46" s="747"/>
      <c r="E46" s="747"/>
      <c r="F46" s="747"/>
      <c r="G46" s="747"/>
      <c r="H46" s="747"/>
      <c r="I46" s="747"/>
      <c r="J46" s="747"/>
      <c r="K46" s="747"/>
    </row>
    <row r="47" spans="1:11" ht="9" customHeight="1">
      <c r="A47" s="14"/>
      <c r="B47" s="14"/>
      <c r="C47" s="14"/>
      <c r="D47" s="14"/>
      <c r="E47" s="14"/>
      <c r="F47" s="14"/>
      <c r="G47" s="14"/>
      <c r="H47" s="14"/>
      <c r="I47" s="14"/>
      <c r="J47" s="14"/>
      <c r="K47" s="14"/>
    </row>
    <row r="48" spans="1:11" ht="15" customHeight="1">
      <c r="A48" s="747" t="s">
        <v>690</v>
      </c>
      <c r="B48" s="747"/>
      <c r="C48" s="747"/>
      <c r="D48" s="747"/>
      <c r="E48" s="747"/>
      <c r="F48" s="747"/>
      <c r="G48" s="747"/>
      <c r="H48" s="747"/>
      <c r="I48" s="747"/>
      <c r="J48" s="747"/>
      <c r="K48" s="747"/>
    </row>
    <row r="49" spans="1:11" ht="15" customHeight="1">
      <c r="A49" s="516" t="s">
        <v>335</v>
      </c>
      <c r="B49" s="186" t="s">
        <v>403</v>
      </c>
      <c r="C49" s="187" t="s">
        <v>509</v>
      </c>
      <c r="D49" s="13"/>
      <c r="E49" s="13"/>
      <c r="F49" s="13"/>
      <c r="G49" s="13"/>
      <c r="H49" s="13"/>
      <c r="I49" s="13"/>
      <c r="J49" s="13"/>
      <c r="K49" s="13"/>
    </row>
    <row r="50" spans="1:11" ht="15" customHeight="1">
      <c r="A50" s="516" t="s">
        <v>404</v>
      </c>
      <c r="B50" s="186" t="s">
        <v>405</v>
      </c>
      <c r="C50" s="730" t="s">
        <v>406</v>
      </c>
      <c r="D50" s="730"/>
      <c r="E50" s="730"/>
      <c r="F50" s="730"/>
      <c r="G50" s="730"/>
      <c r="H50" s="738"/>
      <c r="I50" s="738"/>
      <c r="J50" s="738"/>
      <c r="K50" s="738"/>
    </row>
    <row r="51" spans="1:11" ht="15" customHeight="1">
      <c r="A51" s="516" t="s">
        <v>407</v>
      </c>
      <c r="B51" s="186" t="s">
        <v>408</v>
      </c>
      <c r="C51" s="730" t="s">
        <v>438</v>
      </c>
      <c r="D51" s="730"/>
      <c r="E51" s="730"/>
      <c r="F51" s="730"/>
      <c r="G51" s="730"/>
      <c r="H51" s="737"/>
      <c r="I51" s="737"/>
      <c r="J51" s="737"/>
      <c r="K51" s="737"/>
    </row>
    <row r="52" spans="1:11" ht="15" customHeight="1">
      <c r="A52" s="516" t="s">
        <v>409</v>
      </c>
      <c r="B52" s="186" t="s">
        <v>410</v>
      </c>
      <c r="C52" s="730" t="s">
        <v>406</v>
      </c>
      <c r="D52" s="730"/>
      <c r="E52" s="730"/>
      <c r="F52" s="730"/>
      <c r="G52" s="730"/>
      <c r="H52" s="738"/>
      <c r="I52" s="738"/>
      <c r="J52" s="738"/>
      <c r="K52" s="738"/>
    </row>
    <row r="53" spans="1:11" ht="15" customHeight="1">
      <c r="A53" s="516" t="s">
        <v>411</v>
      </c>
      <c r="B53" s="187" t="s">
        <v>412</v>
      </c>
      <c r="C53" s="739" t="s">
        <v>413</v>
      </c>
      <c r="D53" s="739"/>
      <c r="E53" s="739"/>
      <c r="F53" s="739"/>
      <c r="G53" s="739"/>
      <c r="H53" s="739"/>
      <c r="I53" s="739"/>
      <c r="J53" s="739"/>
      <c r="K53" s="739"/>
    </row>
    <row r="54" spans="1:11" ht="15" customHeight="1">
      <c r="A54" s="516"/>
      <c r="B54" s="187" t="s">
        <v>414</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44" t="s">
        <v>721</v>
      </c>
      <c r="B56" s="744"/>
      <c r="C56" s="744"/>
      <c r="D56" s="744"/>
      <c r="E56" s="744"/>
      <c r="F56" s="744"/>
      <c r="G56" s="744"/>
      <c r="H56" s="744"/>
      <c r="I56" s="744"/>
      <c r="J56" s="744"/>
      <c r="K56" s="744"/>
    </row>
    <row r="57" spans="1:11" ht="15" customHeight="1">
      <c r="A57" s="516" t="s">
        <v>335</v>
      </c>
      <c r="B57" s="186" t="s">
        <v>415</v>
      </c>
      <c r="C57" s="730" t="s">
        <v>479</v>
      </c>
      <c r="D57" s="730"/>
      <c r="E57" s="730"/>
      <c r="F57" s="730"/>
      <c r="G57" s="730"/>
      <c r="H57" s="738"/>
      <c r="I57" s="738"/>
      <c r="J57" s="738"/>
      <c r="K57" s="738"/>
    </row>
    <row r="58" spans="1:11" ht="15" customHeight="1">
      <c r="A58" s="516" t="s">
        <v>404</v>
      </c>
      <c r="B58" s="186" t="s">
        <v>480</v>
      </c>
      <c r="C58" s="730" t="s">
        <v>584</v>
      </c>
      <c r="D58" s="730"/>
      <c r="E58" s="730"/>
      <c r="F58" s="730"/>
      <c r="G58" s="730"/>
      <c r="H58" s="737"/>
      <c r="I58" s="737"/>
      <c r="J58" s="737"/>
      <c r="K58" s="737"/>
    </row>
    <row r="59" spans="1:11" ht="15" customHeight="1">
      <c r="A59" s="516" t="s">
        <v>407</v>
      </c>
      <c r="B59" s="186" t="s">
        <v>337</v>
      </c>
      <c r="C59" s="730" t="s">
        <v>294</v>
      </c>
      <c r="D59" s="730"/>
      <c r="E59" s="730"/>
      <c r="F59" s="730"/>
      <c r="G59" s="730"/>
      <c r="H59" s="738"/>
      <c r="I59" s="738"/>
      <c r="J59" s="738"/>
      <c r="K59" s="738"/>
    </row>
    <row r="60" spans="1:11" ht="15" customHeight="1">
      <c r="A60" s="516" t="s">
        <v>409</v>
      </c>
      <c r="B60" s="512" t="s">
        <v>196</v>
      </c>
      <c r="C60" s="187" t="s">
        <v>510</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0</v>
      </c>
      <c r="B62" s="512"/>
      <c r="C62" s="512"/>
      <c r="D62" s="185"/>
      <c r="E62" s="185"/>
      <c r="F62" s="185"/>
      <c r="G62" s="185"/>
      <c r="H62" s="185"/>
      <c r="I62" s="185"/>
      <c r="J62" s="185"/>
      <c r="K62" s="185"/>
    </row>
    <row r="63" spans="1:11" ht="15" customHeight="1">
      <c r="A63" s="516" t="s">
        <v>335</v>
      </c>
      <c r="B63" s="183" t="s">
        <v>585</v>
      </c>
      <c r="C63" s="13"/>
      <c r="D63" s="13"/>
      <c r="E63" s="13"/>
      <c r="F63" s="13"/>
      <c r="G63" s="13"/>
      <c r="H63" s="13"/>
      <c r="I63" s="13"/>
      <c r="J63" s="13"/>
      <c r="K63" s="13"/>
    </row>
    <row r="64" spans="1:11" ht="15" customHeight="1">
      <c r="A64" s="516" t="s">
        <v>404</v>
      </c>
      <c r="B64" s="183" t="s">
        <v>586</v>
      </c>
      <c r="C64" s="13"/>
      <c r="D64" s="13"/>
      <c r="E64" s="13"/>
      <c r="F64" s="13"/>
      <c r="G64" s="13"/>
      <c r="H64" s="13"/>
      <c r="I64" s="13"/>
      <c r="J64" s="13"/>
      <c r="K64" s="13"/>
    </row>
    <row r="65" spans="1:11" ht="15" customHeight="1">
      <c r="A65" s="516" t="s">
        <v>407</v>
      </c>
      <c r="B65" s="183" t="s">
        <v>587</v>
      </c>
      <c r="C65" s="521" t="s">
        <v>3</v>
      </c>
      <c r="D65" s="185"/>
      <c r="E65" s="185"/>
      <c r="F65" s="185"/>
      <c r="G65" s="185"/>
      <c r="H65" s="185"/>
      <c r="I65" s="185"/>
      <c r="J65" s="185"/>
      <c r="K65" s="185"/>
    </row>
    <row r="66" spans="1:11" ht="15" customHeight="1">
      <c r="A66" s="516" t="s">
        <v>409</v>
      </c>
      <c r="B66" s="521" t="s">
        <v>6</v>
      </c>
      <c r="C66" s="185"/>
      <c r="D66" s="185"/>
      <c r="E66" s="185"/>
      <c r="F66" s="185"/>
      <c r="G66" s="185"/>
      <c r="H66" s="185"/>
      <c r="I66" s="185"/>
      <c r="J66" s="185"/>
      <c r="K66" s="185"/>
    </row>
    <row r="67" spans="1:11" ht="15" customHeight="1">
      <c r="A67" s="516" t="s">
        <v>411</v>
      </c>
      <c r="B67" s="183" t="s">
        <v>588</v>
      </c>
      <c r="C67" s="185"/>
      <c r="D67" s="185"/>
      <c r="E67" s="185"/>
      <c r="F67" s="185"/>
      <c r="G67" s="185"/>
      <c r="H67" s="185"/>
      <c r="I67" s="185"/>
      <c r="J67" s="185"/>
      <c r="K67" s="185"/>
    </row>
    <row r="68" spans="1:11" ht="15" customHeight="1">
      <c r="A68" s="516" t="s">
        <v>589</v>
      </c>
      <c r="B68" s="183" t="s">
        <v>590</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692</v>
      </c>
      <c r="B70" s="511"/>
      <c r="C70" s="511"/>
      <c r="D70" s="511"/>
      <c r="E70" s="511"/>
      <c r="F70" s="511"/>
      <c r="G70" s="511"/>
      <c r="H70" s="511"/>
      <c r="I70" s="511"/>
      <c r="J70" s="511"/>
      <c r="K70" s="511"/>
    </row>
    <row r="71" spans="1:11" ht="15" customHeight="1">
      <c r="A71" s="185"/>
      <c r="B71" s="730" t="s">
        <v>326</v>
      </c>
      <c r="C71" s="730"/>
      <c r="D71" s="730"/>
      <c r="E71" s="730"/>
      <c r="F71" s="730"/>
      <c r="G71" s="730"/>
      <c r="H71" s="730"/>
      <c r="I71" s="730"/>
      <c r="J71" s="730"/>
      <c r="K71" s="730"/>
    </row>
    <row r="72" spans="1:11" ht="15" customHeight="1">
      <c r="A72" s="185"/>
      <c r="B72" s="730"/>
      <c r="C72" s="730"/>
      <c r="D72" s="730"/>
      <c r="E72" s="730"/>
      <c r="F72" s="730"/>
      <c r="G72" s="730"/>
      <c r="H72" s="730"/>
      <c r="I72" s="730"/>
      <c r="J72" s="730"/>
      <c r="K72" s="730"/>
    </row>
    <row r="73" spans="1:11" ht="6" customHeight="1">
      <c r="A73" s="185"/>
      <c r="B73" s="16"/>
      <c r="C73" s="16"/>
      <c r="D73" s="16"/>
      <c r="E73" s="16"/>
      <c r="F73" s="16"/>
      <c r="G73" s="16"/>
      <c r="H73" s="16"/>
      <c r="I73" s="16"/>
      <c r="J73" s="16"/>
      <c r="K73" s="16"/>
    </row>
    <row r="74" spans="1:11" ht="15" customHeight="1">
      <c r="A74" s="517" t="s">
        <v>653</v>
      </c>
      <c r="B74" s="183"/>
      <c r="C74" s="185"/>
      <c r="D74" s="185"/>
      <c r="E74" s="185"/>
      <c r="F74" s="185"/>
      <c r="G74" s="185"/>
      <c r="H74" s="185"/>
      <c r="I74" s="185"/>
      <c r="J74" s="185"/>
      <c r="K74" s="185"/>
    </row>
    <row r="75" spans="1:11" ht="36" customHeight="1">
      <c r="A75" s="185"/>
      <c r="B75" s="730" t="s">
        <v>434</v>
      </c>
      <c r="C75" s="730"/>
      <c r="D75" s="730"/>
      <c r="E75" s="730"/>
      <c r="F75" s="730"/>
      <c r="G75" s="730"/>
      <c r="H75" s="730"/>
      <c r="I75" s="730"/>
      <c r="J75" s="730"/>
      <c r="K75" s="730"/>
    </row>
    <row r="76" spans="1:11" ht="6" customHeight="1">
      <c r="A76" s="185"/>
      <c r="B76" s="16"/>
      <c r="C76" s="16"/>
      <c r="D76" s="16"/>
      <c r="E76" s="16"/>
      <c r="F76" s="16"/>
      <c r="G76" s="16"/>
      <c r="H76" s="16"/>
      <c r="I76" s="16"/>
      <c r="J76" s="16"/>
      <c r="K76" s="16"/>
    </row>
    <row r="77" spans="1:11" ht="15" customHeight="1">
      <c r="A77" s="517" t="s">
        <v>691</v>
      </c>
      <c r="B77" s="185"/>
      <c r="C77" s="185"/>
      <c r="D77" s="185"/>
      <c r="E77" s="185"/>
      <c r="F77" s="185"/>
      <c r="G77" s="185"/>
      <c r="H77" s="185"/>
      <c r="I77" s="185"/>
      <c r="J77" s="185"/>
      <c r="K77" s="185"/>
    </row>
    <row r="78" spans="1:11" ht="105" customHeight="1">
      <c r="A78" s="185"/>
      <c r="B78" s="742" t="s">
        <v>435</v>
      </c>
      <c r="C78" s="742"/>
      <c r="D78" s="742"/>
      <c r="E78" s="742"/>
      <c r="F78" s="742"/>
      <c r="G78" s="742"/>
      <c r="H78" s="742"/>
      <c r="I78" s="742"/>
      <c r="J78" s="742"/>
      <c r="K78" s="742"/>
    </row>
    <row r="79" spans="1:11" ht="6" customHeight="1">
      <c r="A79" s="185"/>
      <c r="B79" s="12"/>
      <c r="C79" s="12"/>
      <c r="D79" s="12"/>
      <c r="E79" s="12"/>
      <c r="F79" s="12"/>
      <c r="G79" s="12"/>
      <c r="H79" s="12"/>
      <c r="I79" s="12"/>
      <c r="J79" s="12"/>
      <c r="K79" s="12"/>
    </row>
    <row r="80" spans="1:11" ht="45" customHeight="1">
      <c r="A80" s="740" t="s">
        <v>616</v>
      </c>
      <c r="B80" s="740"/>
      <c r="C80" s="740"/>
      <c r="D80" s="740"/>
      <c r="E80" s="740"/>
      <c r="F80" s="740"/>
      <c r="G80" s="740"/>
      <c r="H80" s="740"/>
      <c r="I80" s="740"/>
      <c r="J80" s="740"/>
      <c r="K80" s="740"/>
    </row>
    <row r="81" spans="1:11" ht="15" customHeight="1" thickBot="1">
      <c r="A81" s="741" t="s">
        <v>379</v>
      </c>
      <c r="B81" s="741"/>
      <c r="C81" s="741"/>
      <c r="D81" s="741"/>
      <c r="E81" s="741"/>
      <c r="F81" s="741"/>
      <c r="G81" s="741"/>
      <c r="H81" s="741"/>
      <c r="I81" s="741"/>
      <c r="J81" s="741"/>
      <c r="K81" s="741"/>
    </row>
    <row r="82" spans="1:11" ht="75" customHeight="1">
      <c r="A82" s="736" t="s">
        <v>660</v>
      </c>
      <c r="B82" s="736"/>
      <c r="C82" s="736"/>
      <c r="D82" s="736"/>
      <c r="E82" s="736"/>
      <c r="F82" s="736"/>
      <c r="G82" s="736"/>
      <c r="H82" s="736"/>
      <c r="I82" s="736"/>
      <c r="J82" s="736"/>
      <c r="K82" s="736"/>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9"/>
  <sheetViews>
    <sheetView tabSelected="1" zoomScaleSheetLayoutView="100" workbookViewId="0">
      <selection activeCell="I13" sqref="I13"/>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27" t="s">
        <v>81</v>
      </c>
      <c r="B1" s="827"/>
      <c r="C1" s="827"/>
      <c r="D1" s="827"/>
      <c r="E1" s="827"/>
      <c r="F1" s="827"/>
      <c r="G1" s="827"/>
      <c r="H1" s="827"/>
      <c r="I1" s="827"/>
      <c r="J1" s="827"/>
      <c r="K1" s="827"/>
      <c r="L1" s="827"/>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57" t="s">
        <v>250</v>
      </c>
      <c r="B2" s="757"/>
      <c r="C2" s="757"/>
      <c r="D2" s="757"/>
      <c r="E2" s="757"/>
      <c r="F2" s="757"/>
      <c r="G2" s="757"/>
      <c r="H2" s="758"/>
      <c r="I2" s="758"/>
      <c r="J2" s="758"/>
      <c r="K2" s="757"/>
      <c r="L2" s="757"/>
    </row>
    <row r="3" spans="1:256" ht="14.25" customHeight="1" thickBot="1">
      <c r="A3" s="759" t="s">
        <v>251</v>
      </c>
      <c r="B3" s="760" t="s">
        <v>36</v>
      </c>
      <c r="C3" s="760"/>
      <c r="D3" s="760"/>
      <c r="E3" s="760"/>
      <c r="F3" s="760"/>
      <c r="G3" s="761"/>
      <c r="H3" s="762" t="s">
        <v>37</v>
      </c>
      <c r="I3" s="762"/>
      <c r="J3" s="7" t="s">
        <v>38</v>
      </c>
      <c r="K3" s="763">
        <v>199</v>
      </c>
      <c r="L3" s="764"/>
    </row>
    <row r="4" spans="1:256" s="192" customFormat="1" ht="12.75" customHeight="1">
      <c r="A4" s="759"/>
      <c r="B4" s="765" t="s">
        <v>252</v>
      </c>
      <c r="C4" s="765"/>
      <c r="D4" s="765"/>
      <c r="E4" s="765"/>
      <c r="F4" s="765"/>
      <c r="G4" s="765"/>
      <c r="H4" s="766" t="s">
        <v>253</v>
      </c>
      <c r="I4" s="766"/>
      <c r="J4" s="342" t="s">
        <v>254</v>
      </c>
      <c r="K4" s="767" t="s">
        <v>192</v>
      </c>
      <c r="L4" s="768"/>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255</v>
      </c>
      <c r="B5" s="769">
        <v>41377</v>
      </c>
      <c r="C5" s="769"/>
      <c r="D5" s="769"/>
      <c r="E5" s="769"/>
      <c r="F5" s="770" t="s">
        <v>256</v>
      </c>
      <c r="G5" s="770"/>
      <c r="H5" s="771">
        <v>0.75</v>
      </c>
      <c r="I5" s="771"/>
      <c r="J5" s="344" t="s">
        <v>257</v>
      </c>
      <c r="K5" s="772"/>
      <c r="L5" s="772"/>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73" t="s">
        <v>258</v>
      </c>
      <c r="B6" s="773"/>
      <c r="C6" s="773"/>
      <c r="D6" s="773"/>
      <c r="E6" s="773"/>
      <c r="F6" s="774"/>
      <c r="G6" s="774"/>
      <c r="H6" s="774"/>
      <c r="I6" s="774"/>
      <c r="J6" s="774"/>
      <c r="K6" s="774"/>
      <c r="L6" s="774"/>
    </row>
    <row r="7" spans="1:256" ht="13.5" customHeight="1">
      <c r="A7" s="775" t="s">
        <v>259</v>
      </c>
      <c r="B7" s="775"/>
      <c r="C7" s="775"/>
      <c r="D7" s="775"/>
      <c r="E7" s="776"/>
      <c r="F7" s="777" t="s">
        <v>260</v>
      </c>
      <c r="G7" s="778"/>
      <c r="H7" s="778"/>
      <c r="I7" s="778"/>
      <c r="J7" s="778"/>
      <c r="K7" s="778"/>
      <c r="L7" s="779"/>
    </row>
    <row r="8" spans="1:256" ht="17" customHeight="1">
      <c r="A8" s="345" t="s">
        <v>261</v>
      </c>
      <c r="B8" s="780" t="s">
        <v>39</v>
      </c>
      <c r="C8" s="780"/>
      <c r="D8" s="780"/>
      <c r="E8" s="781"/>
      <c r="F8" s="782" t="s">
        <v>261</v>
      </c>
      <c r="G8" s="783"/>
      <c r="H8" s="780" t="s">
        <v>39</v>
      </c>
      <c r="I8" s="780"/>
      <c r="J8" s="780"/>
      <c r="K8" s="780"/>
      <c r="L8" s="784"/>
    </row>
    <row r="9" spans="1:256" ht="17" customHeight="1">
      <c r="A9" s="346" t="s">
        <v>262</v>
      </c>
      <c r="B9" s="780" t="s">
        <v>40</v>
      </c>
      <c r="C9" s="780"/>
      <c r="D9" s="780"/>
      <c r="E9" s="781"/>
      <c r="F9" s="782" t="s">
        <v>262</v>
      </c>
      <c r="G9" s="783"/>
      <c r="H9" s="781" t="s">
        <v>357</v>
      </c>
      <c r="I9" s="785"/>
      <c r="J9" s="785"/>
      <c r="K9" s="785"/>
      <c r="L9" s="786"/>
    </row>
    <row r="10" spans="1:256" ht="17" customHeight="1">
      <c r="A10" s="347" t="s">
        <v>263</v>
      </c>
      <c r="B10" s="348" t="s">
        <v>264</v>
      </c>
      <c r="C10" s="787" t="s">
        <v>265</v>
      </c>
      <c r="D10" s="787"/>
      <c r="E10" s="788"/>
      <c r="F10" s="789" t="s">
        <v>263</v>
      </c>
      <c r="G10" s="790"/>
      <c r="H10" s="348" t="s">
        <v>264</v>
      </c>
      <c r="I10" s="791" t="s">
        <v>265</v>
      </c>
      <c r="J10" s="791"/>
      <c r="K10" s="791"/>
      <c r="L10" s="792"/>
    </row>
    <row r="11" spans="1:256" ht="17" customHeight="1">
      <c r="A11" s="349">
        <v>1</v>
      </c>
      <c r="B11" s="532" t="s">
        <v>41</v>
      </c>
      <c r="C11" s="533" t="s">
        <v>42</v>
      </c>
      <c r="D11" s="196"/>
      <c r="E11" s="197"/>
      <c r="F11" s="793">
        <v>1</v>
      </c>
      <c r="G11" s="794"/>
      <c r="H11" s="541" t="s">
        <v>358</v>
      </c>
      <c r="I11" s="542" t="s">
        <v>359</v>
      </c>
      <c r="J11" s="198"/>
      <c r="K11" s="198"/>
      <c r="L11" s="199"/>
    </row>
    <row r="12" spans="1:256" ht="17" customHeight="1">
      <c r="A12" s="349">
        <v>2</v>
      </c>
      <c r="B12" s="532" t="s">
        <v>43</v>
      </c>
      <c r="C12" s="533" t="s">
        <v>44</v>
      </c>
      <c r="D12" s="196"/>
      <c r="E12" s="197"/>
      <c r="F12" s="793">
        <v>2</v>
      </c>
      <c r="G12" s="794"/>
      <c r="H12" s="543" t="s">
        <v>125</v>
      </c>
      <c r="I12" s="542" t="s">
        <v>361</v>
      </c>
      <c r="J12" s="198"/>
      <c r="K12" s="198"/>
      <c r="L12" s="199"/>
    </row>
    <row r="13" spans="1:256" ht="17" customHeight="1">
      <c r="A13" s="349">
        <v>3</v>
      </c>
      <c r="B13" s="532" t="s">
        <v>45</v>
      </c>
      <c r="C13" s="533" t="s">
        <v>46</v>
      </c>
      <c r="D13" s="196"/>
      <c r="E13" s="197"/>
      <c r="F13" s="795">
        <v>3</v>
      </c>
      <c r="G13" s="796"/>
      <c r="H13" s="541" t="s">
        <v>362</v>
      </c>
      <c r="I13" s="542" t="s">
        <v>363</v>
      </c>
      <c r="J13" s="198"/>
      <c r="K13" s="198"/>
      <c r="L13" s="199"/>
    </row>
    <row r="14" spans="1:256" ht="17" customHeight="1">
      <c r="A14" s="349">
        <v>4</v>
      </c>
      <c r="B14" s="532" t="s">
        <v>47</v>
      </c>
      <c r="C14" s="533" t="s">
        <v>48</v>
      </c>
      <c r="D14" s="196"/>
      <c r="E14" s="197"/>
      <c r="F14" s="795">
        <v>4</v>
      </c>
      <c r="G14" s="796"/>
      <c r="H14" s="543" t="s">
        <v>364</v>
      </c>
      <c r="I14" s="542" t="s">
        <v>365</v>
      </c>
      <c r="J14" s="198"/>
      <c r="K14" s="198"/>
      <c r="L14" s="199"/>
    </row>
    <row r="15" spans="1:256" ht="17" customHeight="1">
      <c r="A15" s="349">
        <v>5</v>
      </c>
      <c r="B15" s="532" t="s">
        <v>49</v>
      </c>
      <c r="C15" s="533" t="s">
        <v>50</v>
      </c>
      <c r="D15" s="196"/>
      <c r="E15" s="197"/>
      <c r="F15" s="795">
        <v>5</v>
      </c>
      <c r="G15" s="796"/>
      <c r="H15" s="541" t="s">
        <v>366</v>
      </c>
      <c r="I15" s="542" t="s">
        <v>236</v>
      </c>
      <c r="J15" s="198"/>
      <c r="K15" s="198"/>
      <c r="L15" s="199"/>
    </row>
    <row r="16" spans="1:256" ht="17" customHeight="1">
      <c r="A16" s="349">
        <v>6</v>
      </c>
      <c r="B16" s="532" t="s">
        <v>51</v>
      </c>
      <c r="C16" s="533" t="s">
        <v>52</v>
      </c>
      <c r="D16" s="196"/>
      <c r="E16" s="197"/>
      <c r="F16" s="795">
        <v>6</v>
      </c>
      <c r="G16" s="796"/>
      <c r="H16" s="543" t="s">
        <v>237</v>
      </c>
      <c r="I16" s="542" t="s">
        <v>238</v>
      </c>
      <c r="J16" s="198"/>
      <c r="K16" s="198"/>
      <c r="L16" s="199"/>
      <c r="N16" s="200"/>
      <c r="O16" s="200"/>
      <c r="P16" s="200"/>
      <c r="Q16" s="200"/>
    </row>
    <row r="17" spans="1:17" ht="17" customHeight="1">
      <c r="A17" s="349">
        <v>7</v>
      </c>
      <c r="B17" s="532" t="s">
        <v>53</v>
      </c>
      <c r="C17" s="533" t="s">
        <v>54</v>
      </c>
      <c r="D17" s="196"/>
      <c r="E17" s="197"/>
      <c r="F17" s="795">
        <v>7</v>
      </c>
      <c r="G17" s="796"/>
      <c r="H17" s="541" t="s">
        <v>239</v>
      </c>
      <c r="I17" s="542" t="s">
        <v>240</v>
      </c>
      <c r="J17" s="198"/>
      <c r="K17" s="198"/>
      <c r="L17" s="199"/>
    </row>
    <row r="18" spans="1:17" ht="17" customHeight="1">
      <c r="A18" s="349">
        <v>8</v>
      </c>
      <c r="B18" s="532" t="s">
        <v>55</v>
      </c>
      <c r="C18" s="533" t="s">
        <v>56</v>
      </c>
      <c r="D18" s="196"/>
      <c r="E18" s="197"/>
      <c r="F18" s="795">
        <v>8</v>
      </c>
      <c r="G18" s="796"/>
      <c r="H18" s="543" t="s">
        <v>241</v>
      </c>
      <c r="I18" s="542" t="s">
        <v>71</v>
      </c>
      <c r="J18" s="198"/>
      <c r="K18" s="198"/>
      <c r="L18" s="199"/>
    </row>
    <row r="19" spans="1:17" ht="17" customHeight="1">
      <c r="A19" s="349">
        <v>9</v>
      </c>
      <c r="B19" s="532" t="s">
        <v>57</v>
      </c>
      <c r="C19" s="533" t="s">
        <v>58</v>
      </c>
      <c r="D19" s="196"/>
      <c r="E19" s="197"/>
      <c r="F19" s="795">
        <v>9</v>
      </c>
      <c r="G19" s="796"/>
      <c r="H19" s="541" t="s">
        <v>72</v>
      </c>
      <c r="I19" s="542" t="s">
        <v>73</v>
      </c>
      <c r="J19" s="198"/>
      <c r="K19" s="198"/>
      <c r="L19" s="199"/>
    </row>
    <row r="20" spans="1:17" ht="17" customHeight="1">
      <c r="A20" s="349">
        <v>10</v>
      </c>
      <c r="B20" s="532" t="s">
        <v>59</v>
      </c>
      <c r="C20" s="533" t="s">
        <v>218</v>
      </c>
      <c r="D20" s="196"/>
      <c r="E20" s="197"/>
      <c r="F20" s="795">
        <v>10</v>
      </c>
      <c r="G20" s="796"/>
      <c r="H20" s="543" t="s">
        <v>74</v>
      </c>
      <c r="I20" s="542" t="s">
        <v>75</v>
      </c>
      <c r="J20" s="198"/>
      <c r="K20" s="198"/>
      <c r="L20" s="199"/>
    </row>
    <row r="21" spans="1:17" ht="17" customHeight="1">
      <c r="A21" s="349">
        <v>11</v>
      </c>
      <c r="B21" s="532" t="s">
        <v>219</v>
      </c>
      <c r="C21" s="533" t="s">
        <v>220</v>
      </c>
      <c r="D21" s="196"/>
      <c r="E21" s="197"/>
      <c r="F21" s="795">
        <v>11</v>
      </c>
      <c r="G21" s="796"/>
      <c r="H21" s="541" t="s">
        <v>76</v>
      </c>
      <c r="I21" s="542" t="s">
        <v>77</v>
      </c>
      <c r="J21" s="198"/>
      <c r="K21" s="198"/>
      <c r="L21" s="199"/>
    </row>
    <row r="22" spans="1:17" ht="17" customHeight="1">
      <c r="A22" s="349">
        <v>12</v>
      </c>
      <c r="B22" s="532" t="s">
        <v>221</v>
      </c>
      <c r="C22" s="533" t="s">
        <v>222</v>
      </c>
      <c r="D22" s="196"/>
      <c r="E22" s="197"/>
      <c r="F22" s="795">
        <v>12</v>
      </c>
      <c r="G22" s="796"/>
      <c r="H22" s="543" t="s">
        <v>78</v>
      </c>
      <c r="I22" s="542" t="s">
        <v>79</v>
      </c>
      <c r="J22" s="198"/>
      <c r="K22" s="198"/>
      <c r="L22" s="199"/>
    </row>
    <row r="23" spans="1:17" ht="17" customHeight="1">
      <c r="A23" s="349">
        <v>13</v>
      </c>
      <c r="B23" s="532" t="s">
        <v>223</v>
      </c>
      <c r="C23" s="533" t="s">
        <v>224</v>
      </c>
      <c r="D23" s="196"/>
      <c r="E23" s="197"/>
      <c r="F23" s="795">
        <v>13</v>
      </c>
      <c r="G23" s="796"/>
      <c r="H23" s="541" t="s">
        <v>80</v>
      </c>
      <c r="I23" s="542" t="s">
        <v>112</v>
      </c>
      <c r="J23" s="198"/>
      <c r="K23" s="198"/>
      <c r="L23" s="199"/>
    </row>
    <row r="24" spans="1:17" ht="17" customHeight="1">
      <c r="A24" s="350">
        <v>14</v>
      </c>
      <c r="B24" s="695" t="s">
        <v>225</v>
      </c>
      <c r="C24" s="696" t="s">
        <v>226</v>
      </c>
      <c r="D24" s="697"/>
      <c r="E24" s="698"/>
      <c r="F24" s="797">
        <v>14</v>
      </c>
      <c r="G24" s="798"/>
      <c r="H24" s="543" t="s">
        <v>113</v>
      </c>
      <c r="I24" s="542" t="s">
        <v>114</v>
      </c>
      <c r="J24" s="198"/>
      <c r="K24" s="198"/>
      <c r="L24" s="199"/>
      <c r="N24" s="200"/>
      <c r="O24" s="200"/>
      <c r="P24" s="200"/>
      <c r="Q24" s="200"/>
    </row>
    <row r="25" spans="1:17" ht="17" customHeight="1">
      <c r="A25" s="349">
        <v>15</v>
      </c>
      <c r="B25" s="535" t="s">
        <v>227</v>
      </c>
      <c r="C25" s="533" t="s">
        <v>228</v>
      </c>
      <c r="D25" s="196"/>
      <c r="E25" s="197"/>
      <c r="F25" s="795">
        <v>15</v>
      </c>
      <c r="G25" s="796"/>
      <c r="H25" s="541" t="s">
        <v>115</v>
      </c>
      <c r="I25" s="542" t="s">
        <v>116</v>
      </c>
      <c r="J25" s="198"/>
      <c r="K25" s="198"/>
      <c r="L25" s="199"/>
    </row>
    <row r="26" spans="1:17" ht="17" customHeight="1">
      <c r="A26" s="349">
        <v>16</v>
      </c>
      <c r="B26" s="535"/>
      <c r="C26" s="533"/>
      <c r="D26" s="196"/>
      <c r="E26" s="197"/>
      <c r="F26" s="795">
        <v>16</v>
      </c>
      <c r="G26" s="796"/>
      <c r="H26" s="541"/>
      <c r="I26" s="544"/>
      <c r="J26" s="201"/>
      <c r="K26" s="201"/>
      <c r="L26" s="202"/>
    </row>
    <row r="27" spans="1:17" ht="17" customHeight="1">
      <c r="A27" s="351">
        <v>17</v>
      </c>
      <c r="B27" s="536"/>
      <c r="C27" s="537"/>
      <c r="D27" s="203"/>
      <c r="E27" s="204"/>
      <c r="F27" s="799">
        <v>17</v>
      </c>
      <c r="G27" s="799"/>
      <c r="H27" s="536"/>
      <c r="I27" s="537"/>
      <c r="J27" s="203"/>
      <c r="K27" s="203"/>
      <c r="L27" s="204"/>
    </row>
    <row r="28" spans="1:17" ht="17" customHeight="1">
      <c r="A28" s="349">
        <v>18</v>
      </c>
      <c r="B28" s="535"/>
      <c r="C28" s="538"/>
      <c r="D28" s="205"/>
      <c r="E28" s="206"/>
      <c r="F28" s="796">
        <v>18</v>
      </c>
      <c r="G28" s="796"/>
      <c r="H28" s="535"/>
      <c r="I28" s="538"/>
      <c r="J28" s="205"/>
      <c r="K28" s="205"/>
      <c r="L28" s="206"/>
    </row>
    <row r="29" spans="1:17" ht="17" customHeight="1">
      <c r="A29" s="349">
        <v>19</v>
      </c>
      <c r="B29" s="535"/>
      <c r="C29" s="539"/>
      <c r="D29" s="207"/>
      <c r="E29" s="208"/>
      <c r="F29" s="796">
        <v>19</v>
      </c>
      <c r="G29" s="796"/>
      <c r="H29" s="535"/>
      <c r="I29" s="539"/>
      <c r="J29" s="207"/>
      <c r="K29" s="207"/>
      <c r="L29" s="208"/>
    </row>
    <row r="30" spans="1:17" ht="17" customHeight="1" thickBot="1">
      <c r="A30" s="350">
        <v>20</v>
      </c>
      <c r="B30" s="534"/>
      <c r="C30" s="540"/>
      <c r="D30" s="209"/>
      <c r="E30" s="210"/>
      <c r="F30" s="798">
        <v>20</v>
      </c>
      <c r="G30" s="798"/>
      <c r="H30" s="534"/>
      <c r="I30" s="540"/>
      <c r="J30" s="209"/>
      <c r="K30" s="209"/>
      <c r="L30" s="210"/>
      <c r="N30" s="200"/>
      <c r="O30" s="200"/>
      <c r="P30" s="200"/>
      <c r="Q30" s="200"/>
    </row>
    <row r="31" spans="1:17" ht="14" thickBot="1">
      <c r="A31" s="800" t="s">
        <v>266</v>
      </c>
      <c r="B31" s="800"/>
      <c r="C31" s="359" t="s">
        <v>267</v>
      </c>
      <c r="D31" s="359" t="s">
        <v>268</v>
      </c>
      <c r="E31" s="360" t="s">
        <v>269</v>
      </c>
      <c r="F31" s="801" t="s">
        <v>266</v>
      </c>
      <c r="G31" s="801"/>
      <c r="H31" s="801"/>
      <c r="I31" s="361" t="s">
        <v>267</v>
      </c>
      <c r="J31" s="802" t="s">
        <v>268</v>
      </c>
      <c r="K31" s="802"/>
      <c r="L31" s="362" t="s">
        <v>269</v>
      </c>
    </row>
    <row r="32" spans="1:17" ht="15" customHeight="1">
      <c r="A32" s="636" t="s">
        <v>60</v>
      </c>
      <c r="B32" s="640"/>
      <c r="C32" s="8" t="s">
        <v>61</v>
      </c>
      <c r="D32" s="8" t="s">
        <v>37</v>
      </c>
      <c r="E32" s="545"/>
      <c r="F32" s="637" t="s">
        <v>67</v>
      </c>
      <c r="G32" s="641"/>
      <c r="H32" s="642"/>
      <c r="I32" s="548" t="s">
        <v>68</v>
      </c>
      <c r="J32" s="803" t="s">
        <v>37</v>
      </c>
      <c r="K32" s="803"/>
      <c r="L32" s="549"/>
    </row>
    <row r="33" spans="1:256" ht="15" customHeight="1">
      <c r="A33" s="619" t="s">
        <v>62</v>
      </c>
      <c r="B33" s="621"/>
      <c r="C33" s="10" t="s">
        <v>63</v>
      </c>
      <c r="D33" s="10" t="s">
        <v>37</v>
      </c>
      <c r="E33" s="546"/>
      <c r="F33" s="638" t="s">
        <v>69</v>
      </c>
      <c r="G33" s="643"/>
      <c r="H33" s="644"/>
      <c r="I33" s="550" t="s">
        <v>68</v>
      </c>
      <c r="J33" s="808" t="s">
        <v>37</v>
      </c>
      <c r="K33" s="808"/>
      <c r="L33" s="551"/>
    </row>
    <row r="34" spans="1:256" ht="15" customHeight="1">
      <c r="A34" s="619" t="s">
        <v>64</v>
      </c>
      <c r="B34" s="621"/>
      <c r="C34" s="10" t="s">
        <v>63</v>
      </c>
      <c r="D34" s="10" t="s">
        <v>37</v>
      </c>
      <c r="E34" s="546"/>
      <c r="F34" s="638" t="s">
        <v>70</v>
      </c>
      <c r="G34" s="643"/>
      <c r="H34" s="644"/>
      <c r="I34" s="550" t="s">
        <v>68</v>
      </c>
      <c r="J34" s="808" t="s">
        <v>37</v>
      </c>
      <c r="K34" s="808"/>
      <c r="L34" s="551"/>
    </row>
    <row r="35" spans="1:256" ht="15" customHeight="1" thickBot="1">
      <c r="A35" s="625" t="s">
        <v>65</v>
      </c>
      <c r="B35" s="627"/>
      <c r="C35" s="9" t="s">
        <v>66</v>
      </c>
      <c r="D35" s="9" t="s">
        <v>37</v>
      </c>
      <c r="E35" s="547"/>
      <c r="F35" s="639"/>
      <c r="G35" s="645"/>
      <c r="H35" s="646"/>
      <c r="I35" s="552"/>
      <c r="J35" s="809"/>
      <c r="K35" s="809"/>
      <c r="L35" s="553"/>
    </row>
    <row r="36" spans="1:256" s="200" customFormat="1" ht="12" customHeight="1">
      <c r="A36" s="810" t="s">
        <v>270</v>
      </c>
      <c r="B36" s="810"/>
      <c r="C36" s="810"/>
      <c r="D36" s="810"/>
      <c r="E36" s="810"/>
      <c r="F36" s="810"/>
      <c r="G36" s="810"/>
      <c r="H36" s="810"/>
      <c r="I36" s="810"/>
      <c r="J36" s="810"/>
      <c r="K36" s="810"/>
      <c r="L36" s="810"/>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804" t="s">
        <v>271</v>
      </c>
      <c r="B37" s="805"/>
      <c r="C37" s="805"/>
      <c r="D37" s="805"/>
      <c r="E37" s="805"/>
      <c r="F37" s="806"/>
      <c r="G37" s="788" t="s">
        <v>272</v>
      </c>
      <c r="H37" s="805"/>
      <c r="I37" s="805"/>
      <c r="J37" s="805"/>
      <c r="K37" s="805"/>
      <c r="L37" s="807"/>
    </row>
    <row r="38" spans="1:256" ht="15" customHeight="1">
      <c r="A38" s="352" t="s">
        <v>273</v>
      </c>
      <c r="B38" s="353" t="s">
        <v>274</v>
      </c>
      <c r="C38" s="212">
        <f ca="1">IF(COUNT(Score!A4:A79)=0,"",Score!Q80)</f>
        <v>75</v>
      </c>
      <c r="D38" s="354" t="s">
        <v>408</v>
      </c>
      <c r="E38" s="813">
        <f ca="1">IF(COUNT(Score!A4:A79)=0,"",PT!U43)</f>
        <v>6</v>
      </c>
      <c r="F38" s="814"/>
      <c r="G38" s="355" t="s">
        <v>273</v>
      </c>
      <c r="H38" s="353" t="s">
        <v>274</v>
      </c>
      <c r="I38" s="212">
        <f ca="1">IF(COUNT(Score!T4:T79)=0,"",Score!AJ80)</f>
        <v>31</v>
      </c>
      <c r="J38" s="354" t="s">
        <v>408</v>
      </c>
      <c r="K38" s="815">
        <f ca="1">IF(COUNT(Score!T4:T79)=0,"",PT!U92)</f>
        <v>11</v>
      </c>
      <c r="L38" s="816"/>
    </row>
    <row r="39" spans="1:256" ht="15" customHeight="1">
      <c r="A39" s="352" t="s">
        <v>275</v>
      </c>
      <c r="B39" s="353" t="s">
        <v>274</v>
      </c>
      <c r="C39" s="212">
        <f ca="1">IF(COUNT(Score!A90:A165)=0,"",Score!Q166)</f>
        <v>67</v>
      </c>
      <c r="D39" s="354" t="s">
        <v>408</v>
      </c>
      <c r="E39" s="813">
        <f ca="1">IF(COUNT(Score!A90:A165)=0,"",PT!U44)</f>
        <v>7</v>
      </c>
      <c r="F39" s="814"/>
      <c r="G39" s="355" t="s">
        <v>275</v>
      </c>
      <c r="H39" s="353" t="s">
        <v>274</v>
      </c>
      <c r="I39" s="212">
        <f ca="1">IF(COUNT(Score!T90:T165)=0,"",Score!AJ166)</f>
        <v>77</v>
      </c>
      <c r="J39" s="354" t="s">
        <v>408</v>
      </c>
      <c r="K39" s="815">
        <f ca="1">IF(COUNT(Score!T90:T165)=0,"",PT!U93)</f>
        <v>10</v>
      </c>
      <c r="L39" s="816"/>
    </row>
    <row r="40" spans="1:256" ht="15" customHeight="1" thickBot="1">
      <c r="A40" s="820" t="s">
        <v>277</v>
      </c>
      <c r="B40" s="820"/>
      <c r="C40" s="357">
        <f ca="1">IF(COUNT(Score!A4:A79)=0,"",SUM(C38:C39))</f>
        <v>142</v>
      </c>
      <c r="D40" s="358" t="s">
        <v>276</v>
      </c>
      <c r="E40" s="817">
        <f ca="1">IF(COUNT(Score!A4:A79)=0,"",SUM(E38:E39))</f>
        <v>13</v>
      </c>
      <c r="F40" s="818"/>
      <c r="G40" s="821" t="s">
        <v>277</v>
      </c>
      <c r="H40" s="821"/>
      <c r="I40" s="357">
        <f ca="1">IF(COUNT(Score!T4:T79)=0,"",SUM(I38:I39))</f>
        <v>108</v>
      </c>
      <c r="J40" s="358" t="s">
        <v>276</v>
      </c>
      <c r="K40" s="817">
        <f ca="1">IF(COUNT(Score!T4:T79)=0,"",SUM(K38:K39))</f>
        <v>21</v>
      </c>
      <c r="L40" s="819"/>
    </row>
    <row r="41" spans="1:256" ht="15" customHeight="1">
      <c r="A41" s="811" t="s">
        <v>278</v>
      </c>
      <c r="B41" s="811"/>
      <c r="C41" s="811"/>
      <c r="D41" s="812"/>
      <c r="E41" s="812"/>
      <c r="F41" s="812"/>
      <c r="G41" s="812"/>
      <c r="H41" s="812"/>
      <c r="I41" s="812"/>
      <c r="J41" s="812"/>
      <c r="K41" s="812"/>
      <c r="L41" s="812"/>
      <c r="FO41" s="191"/>
      <c r="FP41" s="191"/>
      <c r="FQ41" s="191"/>
      <c r="FR41" s="191"/>
      <c r="FS41" s="191"/>
      <c r="FT41" s="191"/>
      <c r="FU41" s="191"/>
      <c r="FV41" s="191"/>
      <c r="FW41" s="191"/>
    </row>
    <row r="42" spans="1:256" ht="15" customHeight="1" thickBot="1">
      <c r="A42" s="822"/>
      <c r="B42" s="822"/>
      <c r="C42" s="822"/>
      <c r="D42" s="822"/>
      <c r="E42" s="822"/>
      <c r="F42" s="822"/>
      <c r="G42" s="822"/>
      <c r="H42" s="822"/>
      <c r="I42" s="822"/>
      <c r="J42" s="822"/>
      <c r="K42" s="822"/>
      <c r="L42" s="822"/>
      <c r="FO42" s="191"/>
      <c r="FP42" s="191"/>
      <c r="FQ42" s="191"/>
      <c r="FR42" s="191"/>
      <c r="FS42" s="191"/>
      <c r="FT42" s="191"/>
      <c r="FU42" s="191"/>
      <c r="FV42" s="191"/>
      <c r="FW42" s="191"/>
    </row>
    <row r="43" spans="1:256" s="200" customFormat="1" ht="12" customHeight="1" thickBot="1">
      <c r="A43" s="823" t="s">
        <v>279</v>
      </c>
      <c r="B43" s="823"/>
      <c r="C43" s="823"/>
      <c r="D43" s="823"/>
      <c r="E43" s="823"/>
      <c r="F43" s="823"/>
      <c r="G43" s="823"/>
      <c r="H43" s="823"/>
      <c r="I43" s="823"/>
      <c r="J43" s="823"/>
      <c r="K43" s="823"/>
      <c r="L43" s="823"/>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24" t="s">
        <v>280</v>
      </c>
      <c r="B44" s="824"/>
      <c r="C44" s="824"/>
      <c r="D44" s="824"/>
      <c r="E44" s="824"/>
      <c r="F44" s="825" t="s">
        <v>281</v>
      </c>
      <c r="G44" s="825"/>
      <c r="H44" s="825"/>
      <c r="I44" s="825"/>
      <c r="J44" s="825"/>
      <c r="K44" s="825"/>
      <c r="L44" s="825"/>
    </row>
    <row r="45" spans="1:256">
      <c r="A45" s="347" t="s">
        <v>282</v>
      </c>
      <c r="B45" s="780" t="s">
        <v>58</v>
      </c>
      <c r="C45" s="780"/>
      <c r="D45" s="780"/>
      <c r="E45" s="780"/>
      <c r="F45" s="826" t="s">
        <v>282</v>
      </c>
      <c r="G45" s="826"/>
      <c r="H45" s="780"/>
      <c r="I45" s="780"/>
      <c r="J45" s="780"/>
      <c r="K45" s="780"/>
      <c r="L45" s="780"/>
    </row>
    <row r="46" spans="1:256">
      <c r="A46" s="347" t="s">
        <v>283</v>
      </c>
      <c r="B46" s="780"/>
      <c r="C46" s="780"/>
      <c r="D46" s="780"/>
      <c r="E46" s="780"/>
      <c r="F46" s="826" t="s">
        <v>283</v>
      </c>
      <c r="G46" s="826"/>
      <c r="H46" s="780"/>
      <c r="I46" s="780"/>
      <c r="J46" s="780"/>
      <c r="K46" s="780"/>
      <c r="L46" s="780"/>
    </row>
    <row r="47" spans="1:256" ht="18" customHeight="1" thickBot="1">
      <c r="A47" s="356" t="s">
        <v>284</v>
      </c>
      <c r="B47" s="828"/>
      <c r="C47" s="828"/>
      <c r="D47" s="828"/>
      <c r="E47" s="828"/>
      <c r="F47" s="829" t="s">
        <v>284</v>
      </c>
      <c r="G47" s="829"/>
      <c r="H47" s="828"/>
      <c r="I47" s="828"/>
      <c r="J47" s="828"/>
      <c r="K47" s="828"/>
      <c r="L47" s="828"/>
    </row>
    <row r="48" spans="1:256" ht="12" customHeight="1">
      <c r="A48" s="830" t="s">
        <v>285</v>
      </c>
      <c r="B48" s="830"/>
      <c r="C48" s="830"/>
      <c r="D48" s="830"/>
      <c r="E48" s="830"/>
      <c r="F48" s="831" t="s">
        <v>286</v>
      </c>
      <c r="G48" s="831"/>
      <c r="H48" s="831"/>
      <c r="I48" s="831"/>
      <c r="J48" s="831"/>
      <c r="K48" s="831"/>
      <c r="L48" s="831"/>
    </row>
    <row r="49" spans="1:179">
      <c r="A49" s="347" t="s">
        <v>282</v>
      </c>
      <c r="B49" s="780" t="s">
        <v>60</v>
      </c>
      <c r="C49" s="780"/>
      <c r="D49" s="780"/>
      <c r="E49" s="780"/>
      <c r="F49" s="826" t="s">
        <v>282</v>
      </c>
      <c r="G49" s="826"/>
      <c r="H49" s="780" t="s">
        <v>117</v>
      </c>
      <c r="I49" s="780"/>
      <c r="J49" s="780"/>
      <c r="K49" s="780"/>
      <c r="L49" s="780"/>
    </row>
    <row r="50" spans="1:179">
      <c r="A50" s="347" t="s">
        <v>283</v>
      </c>
      <c r="B50" s="780"/>
      <c r="C50" s="780"/>
      <c r="D50" s="780"/>
      <c r="E50" s="780"/>
      <c r="F50" s="826" t="s">
        <v>283</v>
      </c>
      <c r="G50" s="826"/>
      <c r="H50" s="780"/>
      <c r="I50" s="780"/>
      <c r="J50" s="780"/>
      <c r="K50" s="780"/>
      <c r="L50" s="780"/>
    </row>
    <row r="51" spans="1:179" ht="18" customHeight="1" thickBot="1">
      <c r="A51" s="356" t="s">
        <v>284</v>
      </c>
      <c r="B51" s="828"/>
      <c r="C51" s="828"/>
      <c r="D51" s="828"/>
      <c r="E51" s="828"/>
      <c r="F51" s="829" t="s">
        <v>284</v>
      </c>
      <c r="G51" s="829"/>
      <c r="H51" s="828"/>
      <c r="I51" s="828"/>
      <c r="J51" s="828"/>
      <c r="K51" s="828"/>
      <c r="L51" s="828"/>
    </row>
    <row r="52" spans="1:179" ht="17.25" customHeight="1">
      <c r="A52" s="834" t="s">
        <v>666</v>
      </c>
      <c r="B52" s="834"/>
      <c r="C52" s="834"/>
      <c r="D52" s="834"/>
      <c r="E52" s="834"/>
      <c r="F52" s="834"/>
      <c r="G52" s="834"/>
      <c r="H52" s="834"/>
      <c r="I52" s="834"/>
      <c r="J52" s="834"/>
      <c r="K52" s="834"/>
      <c r="L52" s="834"/>
    </row>
    <row r="53" spans="1:179" ht="15" customHeight="1" thickBot="1">
      <c r="A53" s="832" t="s">
        <v>711</v>
      </c>
      <c r="B53" s="832"/>
      <c r="C53" s="832"/>
      <c r="D53" s="832"/>
      <c r="E53" s="832"/>
      <c r="F53" s="832"/>
      <c r="G53" s="832"/>
      <c r="H53" s="832"/>
      <c r="I53" s="832"/>
      <c r="J53" s="832"/>
      <c r="K53" s="832"/>
      <c r="L53" s="832"/>
      <c r="FT53" s="191"/>
      <c r="FU53" s="191"/>
      <c r="FV53" s="191"/>
      <c r="FW53" s="191"/>
    </row>
    <row r="54" spans="1:179" ht="18.5" customHeight="1">
      <c r="A54" s="835" t="s">
        <v>287</v>
      </c>
      <c r="B54" s="835"/>
      <c r="C54" s="835"/>
      <c r="D54" s="835"/>
      <c r="E54" s="835"/>
      <c r="F54" s="835"/>
      <c r="G54" s="835"/>
      <c r="H54" s="835"/>
      <c r="I54" s="835"/>
      <c r="J54" s="835"/>
      <c r="K54" s="835"/>
      <c r="L54" s="835"/>
    </row>
    <row r="55" spans="1:179">
      <c r="A55" s="836" t="s">
        <v>288</v>
      </c>
      <c r="B55" s="836"/>
      <c r="C55" s="836"/>
      <c r="D55" s="837" t="s">
        <v>82</v>
      </c>
      <c r="E55" s="837"/>
      <c r="F55" s="837"/>
      <c r="G55" s="837"/>
      <c r="H55" s="837" t="s">
        <v>268</v>
      </c>
      <c r="I55" s="837"/>
      <c r="J55" s="787" t="s">
        <v>392</v>
      </c>
      <c r="K55" s="787"/>
      <c r="L55" s="787"/>
    </row>
    <row r="56" spans="1:179">
      <c r="A56" s="619" t="s">
        <v>118</v>
      </c>
      <c r="B56" s="620"/>
      <c r="C56" s="621"/>
      <c r="D56" s="538" t="s">
        <v>119</v>
      </c>
      <c r="E56" s="620"/>
      <c r="F56" s="620"/>
      <c r="G56" s="621"/>
      <c r="H56" s="629" t="s">
        <v>37</v>
      </c>
      <c r="I56" s="630"/>
      <c r="J56" s="538"/>
      <c r="K56" s="620"/>
      <c r="L56" s="633"/>
    </row>
    <row r="57" spans="1:179">
      <c r="A57" s="619" t="s">
        <v>120</v>
      </c>
      <c r="B57" s="620"/>
      <c r="C57" s="621"/>
      <c r="D57" s="538" t="s">
        <v>121</v>
      </c>
      <c r="E57" s="620"/>
      <c r="F57" s="620"/>
      <c r="G57" s="621"/>
      <c r="H57" s="629" t="s">
        <v>37</v>
      </c>
      <c r="I57" s="630"/>
      <c r="J57" s="538"/>
      <c r="K57" s="620"/>
      <c r="L57" s="633"/>
    </row>
    <row r="58" spans="1:179">
      <c r="A58" s="622" t="s">
        <v>122</v>
      </c>
      <c r="B58" s="623"/>
      <c r="C58" s="624"/>
      <c r="D58" s="628" t="s">
        <v>314</v>
      </c>
      <c r="E58" s="623"/>
      <c r="F58" s="623"/>
      <c r="G58" s="624"/>
      <c r="H58" s="629" t="s">
        <v>154</v>
      </c>
      <c r="I58" s="630"/>
      <c r="J58" s="538"/>
      <c r="K58" s="620"/>
      <c r="L58" s="633"/>
    </row>
    <row r="59" spans="1:179">
      <c r="A59" s="622" t="s">
        <v>315</v>
      </c>
      <c r="B59" s="623"/>
      <c r="C59" s="624"/>
      <c r="D59" s="628" t="s">
        <v>314</v>
      </c>
      <c r="E59" s="623"/>
      <c r="F59" s="623"/>
      <c r="G59" s="624"/>
      <c r="H59" s="629" t="s">
        <v>37</v>
      </c>
      <c r="I59" s="630"/>
      <c r="J59" s="538"/>
      <c r="K59" s="620"/>
      <c r="L59" s="633"/>
    </row>
    <row r="60" spans="1:179">
      <c r="A60" s="622" t="s">
        <v>316</v>
      </c>
      <c r="B60" s="623"/>
      <c r="C60" s="624"/>
      <c r="D60" s="628" t="s">
        <v>317</v>
      </c>
      <c r="E60" s="623"/>
      <c r="F60" s="623"/>
      <c r="G60" s="624"/>
      <c r="H60" s="629" t="s">
        <v>37</v>
      </c>
      <c r="I60" s="630"/>
      <c r="J60" s="538"/>
      <c r="K60" s="620"/>
      <c r="L60" s="633"/>
    </row>
    <row r="61" spans="1:179">
      <c r="A61" s="619" t="s">
        <v>318</v>
      </c>
      <c r="B61" s="620"/>
      <c r="C61" s="621"/>
      <c r="D61" s="538" t="s">
        <v>503</v>
      </c>
      <c r="E61" s="620"/>
      <c r="F61" s="620"/>
      <c r="G61" s="621"/>
      <c r="H61" s="629" t="s">
        <v>37</v>
      </c>
      <c r="I61" s="630"/>
      <c r="J61" s="538"/>
      <c r="K61" s="620"/>
      <c r="L61" s="633"/>
    </row>
    <row r="62" spans="1:179">
      <c r="A62" s="619" t="s">
        <v>131</v>
      </c>
      <c r="B62" s="620"/>
      <c r="C62" s="621"/>
      <c r="D62" s="538" t="s">
        <v>503</v>
      </c>
      <c r="E62" s="620"/>
      <c r="F62" s="620"/>
      <c r="G62" s="621"/>
      <c r="H62" s="629" t="s">
        <v>37</v>
      </c>
      <c r="I62" s="630"/>
      <c r="J62" s="538"/>
      <c r="K62" s="620"/>
      <c r="L62" s="633"/>
    </row>
    <row r="63" spans="1:179">
      <c r="A63" s="619" t="s">
        <v>132</v>
      </c>
      <c r="B63" s="620"/>
      <c r="C63" s="621"/>
      <c r="D63" s="538" t="s">
        <v>500</v>
      </c>
      <c r="E63" s="620"/>
      <c r="F63" s="620"/>
      <c r="G63" s="621"/>
      <c r="H63" s="629" t="s">
        <v>37</v>
      </c>
      <c r="I63" s="630"/>
      <c r="J63" s="538"/>
      <c r="K63" s="620"/>
      <c r="L63" s="633"/>
    </row>
    <row r="64" spans="1:179">
      <c r="A64" s="619" t="s">
        <v>133</v>
      </c>
      <c r="B64" s="620"/>
      <c r="C64" s="621"/>
      <c r="D64" s="538" t="s">
        <v>500</v>
      </c>
      <c r="E64" s="620"/>
      <c r="F64" s="620"/>
      <c r="G64" s="621"/>
      <c r="H64" s="629" t="s">
        <v>37</v>
      </c>
      <c r="I64" s="630"/>
      <c r="J64" s="538"/>
      <c r="K64" s="620"/>
      <c r="L64" s="633"/>
    </row>
    <row r="65" spans="1:12">
      <c r="A65" s="619" t="s">
        <v>134</v>
      </c>
      <c r="B65" s="620"/>
      <c r="C65" s="621"/>
      <c r="D65" s="538" t="s">
        <v>498</v>
      </c>
      <c r="E65" s="620"/>
      <c r="F65" s="620"/>
      <c r="G65" s="621"/>
      <c r="H65" s="629" t="s">
        <v>37</v>
      </c>
      <c r="I65" s="630"/>
      <c r="J65" s="538"/>
      <c r="K65" s="620"/>
      <c r="L65" s="633"/>
    </row>
    <row r="66" spans="1:12">
      <c r="A66" s="619" t="s">
        <v>147</v>
      </c>
      <c r="B66" s="620"/>
      <c r="C66" s="621"/>
      <c r="D66" s="538" t="s">
        <v>498</v>
      </c>
      <c r="E66" s="620"/>
      <c r="F66" s="620"/>
      <c r="G66" s="621"/>
      <c r="H66" s="629" t="s">
        <v>37</v>
      </c>
      <c r="I66" s="630"/>
      <c r="J66" s="538"/>
      <c r="K66" s="620"/>
      <c r="L66" s="633"/>
    </row>
    <row r="67" spans="1:12">
      <c r="A67" s="619" t="s">
        <v>117</v>
      </c>
      <c r="B67" s="620"/>
      <c r="C67" s="621"/>
      <c r="D67" s="538" t="s">
        <v>148</v>
      </c>
      <c r="E67" s="620"/>
      <c r="F67" s="620"/>
      <c r="G67" s="621"/>
      <c r="H67" s="629" t="s">
        <v>37</v>
      </c>
      <c r="I67" s="630"/>
      <c r="J67" s="538"/>
      <c r="K67" s="620"/>
      <c r="L67" s="633"/>
    </row>
    <row r="68" spans="1:12">
      <c r="A68" s="619" t="s">
        <v>149</v>
      </c>
      <c r="B68" s="620"/>
      <c r="C68" s="621"/>
      <c r="D68" s="538" t="s">
        <v>150</v>
      </c>
      <c r="E68" s="620"/>
      <c r="F68" s="620"/>
      <c r="G68" s="621"/>
      <c r="H68" s="629" t="s">
        <v>37</v>
      </c>
      <c r="I68" s="630"/>
      <c r="J68" s="538"/>
      <c r="K68" s="620"/>
      <c r="L68" s="633"/>
    </row>
    <row r="69" spans="1:12">
      <c r="A69" s="619" t="s">
        <v>151</v>
      </c>
      <c r="B69" s="620"/>
      <c r="C69" s="621"/>
      <c r="D69" s="538" t="s">
        <v>150</v>
      </c>
      <c r="E69" s="620"/>
      <c r="F69" s="620"/>
      <c r="G69" s="621"/>
      <c r="H69" s="629" t="s">
        <v>37</v>
      </c>
      <c r="I69" s="630"/>
      <c r="J69" s="538"/>
      <c r="K69" s="620"/>
      <c r="L69" s="633"/>
    </row>
    <row r="70" spans="1:12">
      <c r="A70" s="619" t="s">
        <v>152</v>
      </c>
      <c r="B70" s="620"/>
      <c r="C70" s="621"/>
      <c r="D70" s="538" t="s">
        <v>469</v>
      </c>
      <c r="E70" s="620"/>
      <c r="F70" s="620"/>
      <c r="G70" s="621"/>
      <c r="H70" s="629" t="s">
        <v>37</v>
      </c>
      <c r="I70" s="630"/>
      <c r="J70" s="538"/>
      <c r="K70" s="620"/>
      <c r="L70" s="633"/>
    </row>
    <row r="71" spans="1:12">
      <c r="A71" s="619" t="s">
        <v>153</v>
      </c>
      <c r="B71" s="620"/>
      <c r="C71" s="621"/>
      <c r="D71" s="538" t="s">
        <v>469</v>
      </c>
      <c r="E71" s="620"/>
      <c r="F71" s="620"/>
      <c r="G71" s="621"/>
      <c r="H71" s="629" t="s">
        <v>37</v>
      </c>
      <c r="I71" s="630"/>
      <c r="J71" s="538"/>
      <c r="K71" s="620"/>
      <c r="L71" s="633"/>
    </row>
    <row r="72" spans="1:12">
      <c r="A72" s="619"/>
      <c r="B72" s="620"/>
      <c r="C72" s="621"/>
      <c r="D72" s="538"/>
      <c r="E72" s="620"/>
      <c r="F72" s="620"/>
      <c r="G72" s="621"/>
      <c r="H72" s="629"/>
      <c r="I72" s="630"/>
      <c r="J72" s="538"/>
      <c r="K72" s="620"/>
      <c r="L72" s="633"/>
    </row>
    <row r="73" spans="1:12">
      <c r="A73" s="619"/>
      <c r="B73" s="620"/>
      <c r="C73" s="621"/>
      <c r="D73" s="538"/>
      <c r="E73" s="620"/>
      <c r="F73" s="620"/>
      <c r="G73" s="621"/>
      <c r="H73" s="629"/>
      <c r="I73" s="630"/>
      <c r="J73" s="538"/>
      <c r="K73" s="620"/>
      <c r="L73" s="633"/>
    </row>
    <row r="74" spans="1:12">
      <c r="A74" s="619"/>
      <c r="B74" s="620"/>
      <c r="C74" s="621"/>
      <c r="D74" s="538"/>
      <c r="E74" s="620"/>
      <c r="F74" s="620"/>
      <c r="G74" s="621"/>
      <c r="H74" s="629"/>
      <c r="I74" s="630"/>
      <c r="J74" s="538"/>
      <c r="K74" s="620"/>
      <c r="L74" s="633"/>
    </row>
    <row r="75" spans="1:12">
      <c r="A75" s="619"/>
      <c r="B75" s="620"/>
      <c r="C75" s="621"/>
      <c r="D75" s="538"/>
      <c r="E75" s="620"/>
      <c r="F75" s="620"/>
      <c r="G75" s="621"/>
      <c r="H75" s="629"/>
      <c r="I75" s="630"/>
      <c r="J75" s="538"/>
      <c r="K75" s="620"/>
      <c r="L75" s="633"/>
    </row>
    <row r="76" spans="1:12" ht="14" thickBot="1">
      <c r="A76" s="625"/>
      <c r="B76" s="626"/>
      <c r="C76" s="627"/>
      <c r="D76" s="540"/>
      <c r="E76" s="626"/>
      <c r="F76" s="626"/>
      <c r="G76" s="627"/>
      <c r="H76" s="631"/>
      <c r="I76" s="632"/>
      <c r="J76" s="540"/>
      <c r="K76" s="626"/>
      <c r="L76" s="634"/>
    </row>
    <row r="77" spans="1:12" ht="15" thickBot="1">
      <c r="A77" s="838" t="s">
        <v>678</v>
      </c>
      <c r="B77" s="838"/>
      <c r="C77" s="838"/>
      <c r="D77" s="838"/>
      <c r="E77" s="838"/>
      <c r="F77" s="838"/>
      <c r="G77" s="838"/>
      <c r="H77" s="838"/>
      <c r="I77" s="838"/>
      <c r="J77" s="838"/>
      <c r="K77" s="838"/>
      <c r="L77" s="838"/>
    </row>
    <row r="78" spans="1:12" ht="14">
      <c r="A78" s="754" t="s">
        <v>58</v>
      </c>
      <c r="B78" s="754"/>
      <c r="C78" s="754"/>
      <c r="D78" s="755" t="s">
        <v>229</v>
      </c>
      <c r="E78" s="755"/>
      <c r="F78" s="755"/>
      <c r="G78" s="755"/>
      <c r="H78" s="756" t="s">
        <v>40</v>
      </c>
      <c r="I78" s="756"/>
      <c r="J78" s="756"/>
      <c r="K78" s="756"/>
      <c r="L78" s="756"/>
    </row>
    <row r="79" spans="1:12" ht="14">
      <c r="A79" s="748"/>
      <c r="B79" s="748"/>
      <c r="C79" s="748"/>
      <c r="D79" s="749" t="s">
        <v>190</v>
      </c>
      <c r="E79" s="749"/>
      <c r="F79" s="749"/>
      <c r="G79" s="749"/>
      <c r="H79" s="750"/>
      <c r="I79" s="750"/>
      <c r="J79" s="750"/>
      <c r="K79" s="750"/>
      <c r="L79" s="750"/>
    </row>
    <row r="80" spans="1:12" ht="14">
      <c r="A80" s="748"/>
      <c r="B80" s="748"/>
      <c r="C80" s="748"/>
      <c r="D80" s="749" t="s">
        <v>230</v>
      </c>
      <c r="E80" s="749"/>
      <c r="F80" s="749"/>
      <c r="G80" s="749"/>
      <c r="H80" s="750"/>
      <c r="I80" s="750"/>
      <c r="J80" s="750"/>
      <c r="K80" s="750"/>
      <c r="L80" s="750"/>
    </row>
    <row r="81" spans="1:12" ht="15" thickBot="1">
      <c r="A81" s="751"/>
      <c r="B81" s="751"/>
      <c r="C81" s="751"/>
      <c r="D81" s="752" t="s">
        <v>231</v>
      </c>
      <c r="E81" s="752"/>
      <c r="F81" s="752"/>
      <c r="G81" s="752"/>
      <c r="H81" s="753"/>
      <c r="I81" s="753"/>
      <c r="J81" s="753"/>
      <c r="K81" s="753"/>
      <c r="L81" s="753"/>
    </row>
    <row r="82" spans="1:12" ht="15" customHeight="1">
      <c r="A82" s="834" t="s">
        <v>666</v>
      </c>
      <c r="B82" s="834"/>
      <c r="C82" s="834"/>
      <c r="D82" s="834"/>
      <c r="E82" s="834"/>
      <c r="F82" s="834"/>
      <c r="G82" s="834"/>
      <c r="H82" s="834"/>
      <c r="I82" s="834"/>
      <c r="J82" s="834"/>
      <c r="K82" s="834"/>
      <c r="L82" s="834"/>
    </row>
    <row r="83" spans="1:12" ht="15" customHeight="1">
      <c r="A83" s="833" t="str">
        <f>A53</f>
        <v>IBRF Rev. 130308 © 2013 Women's Flat Track Derby Association (WFTDA)</v>
      </c>
      <c r="B83" s="833"/>
      <c r="C83" s="833"/>
      <c r="D83" s="833"/>
      <c r="E83" s="833"/>
      <c r="F83" s="833"/>
      <c r="G83" s="833"/>
      <c r="H83" s="833"/>
      <c r="I83" s="833"/>
      <c r="J83" s="833"/>
      <c r="K83" s="833"/>
      <c r="L83" s="833"/>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row r="105" spans="1:12">
      <c r="A105" s="190"/>
      <c r="B105" s="190"/>
      <c r="C105" s="190"/>
      <c r="D105" s="190"/>
      <c r="E105" s="190"/>
      <c r="F105" s="190"/>
      <c r="G105" s="190"/>
      <c r="H105" s="190"/>
      <c r="I105" s="190"/>
      <c r="J105" s="190"/>
      <c r="K105" s="190"/>
      <c r="L105" s="190"/>
    </row>
    <row r="106" spans="1:12">
      <c r="A106" s="190"/>
      <c r="B106" s="190"/>
      <c r="C106" s="190"/>
      <c r="D106" s="190"/>
      <c r="E106" s="190"/>
      <c r="F106" s="190"/>
      <c r="G106" s="190"/>
      <c r="H106" s="190"/>
      <c r="I106" s="190"/>
      <c r="J106" s="190"/>
      <c r="K106" s="190"/>
      <c r="L106" s="190"/>
    </row>
    <row r="107" spans="1:12">
      <c r="A107" s="190"/>
      <c r="B107" s="190"/>
      <c r="C107" s="190"/>
      <c r="D107" s="190"/>
      <c r="E107" s="190"/>
      <c r="F107" s="190"/>
      <c r="G107" s="190"/>
      <c r="H107" s="190"/>
      <c r="I107" s="190"/>
      <c r="J107" s="190"/>
      <c r="K107" s="190"/>
      <c r="L107" s="190"/>
    </row>
    <row r="108" spans="1:12">
      <c r="A108" s="190"/>
      <c r="B108" s="190"/>
      <c r="C108" s="190"/>
      <c r="D108" s="190"/>
      <c r="E108" s="190"/>
      <c r="F108" s="190"/>
      <c r="G108" s="190"/>
      <c r="H108" s="190"/>
      <c r="I108" s="190"/>
      <c r="J108" s="190"/>
      <c r="K108" s="190"/>
      <c r="L108" s="190"/>
    </row>
    <row r="109" spans="1:12">
      <c r="A109" s="190"/>
      <c r="B109" s="190"/>
      <c r="C109" s="190"/>
      <c r="D109" s="190"/>
      <c r="E109" s="190"/>
      <c r="F109" s="190"/>
      <c r="G109" s="190"/>
      <c r="H109" s="190"/>
      <c r="I109" s="190"/>
      <c r="J109" s="190"/>
      <c r="K109" s="190"/>
      <c r="L109" s="190"/>
    </row>
  </sheetData>
  <sheetCalcPr fullCalcOnLoad="1"/>
  <mergeCells count="111">
    <mergeCell ref="B50:E50"/>
    <mergeCell ref="F50:G50"/>
    <mergeCell ref="H50:L50"/>
    <mergeCell ref="B51:E51"/>
    <mergeCell ref="F51:G51"/>
    <mergeCell ref="H51:L51"/>
    <mergeCell ref="A53:L53"/>
    <mergeCell ref="A83:L83"/>
    <mergeCell ref="A82:L82"/>
    <mergeCell ref="A52:L52"/>
    <mergeCell ref="A54:L54"/>
    <mergeCell ref="A55:C55"/>
    <mergeCell ref="D55:G55"/>
    <mergeCell ref="H55:I55"/>
    <mergeCell ref="J55:L55"/>
    <mergeCell ref="A77:L77"/>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 ref="A78:C78"/>
    <mergeCell ref="D78:G78"/>
    <mergeCell ref="H78:L78"/>
    <mergeCell ref="A79:C79"/>
    <mergeCell ref="D79:G79"/>
    <mergeCell ref="H79:L79"/>
    <mergeCell ref="A80:C80"/>
    <mergeCell ref="D80:G80"/>
    <mergeCell ref="H80:L80"/>
    <mergeCell ref="A81:C81"/>
    <mergeCell ref="D81:G81"/>
    <mergeCell ref="H81:L8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B1" zoomScale="75" zoomScaleSheetLayoutView="75" workbookViewId="0">
      <selection activeCell="U46" sqref="U46:U4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9" t="str">
        <f ca="1">IF(IBRF!B9="","Home Team",IF(IBRF!B8=IBRF!H8,IBRF!B9,IF(IBRF!B8=IBRF!B9,IBRF!B8,IF(OR(IBRF!K3="A",IBRF!K3="B"),IBRF!B8&amp;" "&amp;IBRF!K3,IBRF!B8&amp;" / "&amp;IBRF!B9))))</f>
        <v>Detroit Pistoffs</v>
      </c>
      <c r="B1" s="849"/>
      <c r="C1" s="849"/>
      <c r="D1" s="849"/>
      <c r="E1" s="849"/>
      <c r="F1" s="849"/>
      <c r="G1" s="849"/>
      <c r="H1" s="849"/>
      <c r="I1" s="851" t="s">
        <v>232</v>
      </c>
      <c r="J1" s="851"/>
      <c r="K1" s="508">
        <f ca="1">IF(ISBLANK(IBRF!$B$5), "", IBRF!$B$5)</f>
        <v>41377</v>
      </c>
      <c r="L1" s="839" t="s">
        <v>134</v>
      </c>
      <c r="M1" s="839"/>
      <c r="N1" s="839"/>
      <c r="O1" s="840" t="s">
        <v>62</v>
      </c>
      <c r="P1" s="840"/>
      <c r="Q1" s="840"/>
      <c r="R1" s="18">
        <v>1</v>
      </c>
      <c r="T1" s="849" t="str">
        <f ca="1">IF(IBRF!$H$9="","Away Team",IF(IBRF!$B$8=IBRF!$H$8,IBRF!$H$9,IF(IBRF!$H$8=IBRF!$H$9,IBRF!$H$9,IF(OR(IBRF!$K$3="A",IBRF!$K$3="B"),IBRF!$H$8&amp;" "&amp;IBRF!$K$3,IBRF!$H$8&amp;" / "&amp;IBRF!$H$9))))</f>
        <v>Pistolwhippers</v>
      </c>
      <c r="U1" s="849"/>
      <c r="V1" s="849"/>
      <c r="W1" s="849"/>
      <c r="X1" s="849"/>
      <c r="Y1" s="849"/>
      <c r="Z1" s="849"/>
      <c r="AA1" s="849"/>
      <c r="AB1" s="851" t="s">
        <v>233</v>
      </c>
      <c r="AC1" s="851"/>
      <c r="AD1" s="508">
        <f ca="1">IF(ISBLANK(IBRF!$B$5), "", IBRF!$B$5)</f>
        <v>41377</v>
      </c>
      <c r="AE1" s="839" t="s">
        <v>147</v>
      </c>
      <c r="AF1" s="839"/>
      <c r="AG1" s="839"/>
      <c r="AH1" s="840" t="s">
        <v>64</v>
      </c>
      <c r="AI1" s="840"/>
      <c r="AJ1" s="840"/>
      <c r="AK1" s="18">
        <v>1</v>
      </c>
    </row>
    <row r="2" spans="1:38" s="19" customFormat="1" ht="15" customHeight="1" thickBot="1">
      <c r="A2" s="850"/>
      <c r="B2" s="850"/>
      <c r="C2" s="850"/>
      <c r="D2" s="850"/>
      <c r="E2" s="850"/>
      <c r="F2" s="850"/>
      <c r="G2" s="850"/>
      <c r="H2" s="850"/>
      <c r="I2" s="852" t="s">
        <v>472</v>
      </c>
      <c r="J2" s="852"/>
      <c r="K2" s="32" t="s">
        <v>577</v>
      </c>
      <c r="L2" s="853" t="s">
        <v>498</v>
      </c>
      <c r="M2" s="853"/>
      <c r="N2" s="853"/>
      <c r="O2" s="854" t="s">
        <v>576</v>
      </c>
      <c r="P2" s="854"/>
      <c r="Q2" s="854"/>
      <c r="R2" s="21" t="str">
        <f ca="1">IF(ISBLANK(IBRF!$K$3), "", "BOUT " &amp; IBRF!$K$3)</f>
        <v>BOUT 199</v>
      </c>
      <c r="T2" s="850"/>
      <c r="U2" s="850"/>
      <c r="V2" s="850"/>
      <c r="W2" s="850"/>
      <c r="X2" s="850"/>
      <c r="Y2" s="850"/>
      <c r="Z2" s="850"/>
      <c r="AA2" s="850"/>
      <c r="AB2" s="852" t="s">
        <v>472</v>
      </c>
      <c r="AC2" s="852"/>
      <c r="AD2" s="32" t="s">
        <v>577</v>
      </c>
      <c r="AE2" s="853" t="s">
        <v>498</v>
      </c>
      <c r="AF2" s="853"/>
      <c r="AG2" s="853"/>
      <c r="AH2" s="854" t="s">
        <v>576</v>
      </c>
      <c r="AI2" s="854"/>
      <c r="AJ2" s="854"/>
      <c r="AK2" s="21" t="str">
        <f ca="1">IF(ISBLANK(IBRF!$K$3), "", "BOUT " &amp; IBRF!$K$3)</f>
        <v>BOUT 199</v>
      </c>
    </row>
    <row r="3" spans="1:38" ht="35.25" customHeight="1" thickBot="1">
      <c r="A3" s="598" t="s">
        <v>393</v>
      </c>
      <c r="B3" s="599" t="s">
        <v>394</v>
      </c>
      <c r="C3" s="600" t="s">
        <v>395</v>
      </c>
      <c r="D3" s="601" t="s">
        <v>396</v>
      </c>
      <c r="E3" s="601" t="s">
        <v>397</v>
      </c>
      <c r="F3" s="601" t="s">
        <v>398</v>
      </c>
      <c r="G3" s="602" t="s">
        <v>399</v>
      </c>
      <c r="H3" s="603" t="s">
        <v>400</v>
      </c>
      <c r="I3" s="604" t="s">
        <v>401</v>
      </c>
      <c r="J3" s="604" t="s">
        <v>402</v>
      </c>
      <c r="K3" s="604" t="s">
        <v>451</v>
      </c>
      <c r="L3" s="604" t="s">
        <v>452</v>
      </c>
      <c r="M3" s="604" t="s">
        <v>453</v>
      </c>
      <c r="N3" s="604" t="s">
        <v>454</v>
      </c>
      <c r="O3" s="604" t="s">
        <v>1</v>
      </c>
      <c r="P3" s="604" t="s">
        <v>2</v>
      </c>
      <c r="Q3" s="605" t="s">
        <v>455</v>
      </c>
      <c r="R3" s="606" t="s">
        <v>521</v>
      </c>
      <c r="S3" s="22" t="s">
        <v>522</v>
      </c>
      <c r="T3" s="598" t="s">
        <v>393</v>
      </c>
      <c r="U3" s="599" t="s">
        <v>394</v>
      </c>
      <c r="V3" s="600" t="s">
        <v>395</v>
      </c>
      <c r="W3" s="601" t="s">
        <v>396</v>
      </c>
      <c r="X3" s="601" t="s">
        <v>397</v>
      </c>
      <c r="Y3" s="601" t="s">
        <v>398</v>
      </c>
      <c r="Z3" s="602" t="s">
        <v>399</v>
      </c>
      <c r="AA3" s="603" t="s">
        <v>400</v>
      </c>
      <c r="AB3" s="604" t="s">
        <v>401</v>
      </c>
      <c r="AC3" s="604" t="s">
        <v>402</v>
      </c>
      <c r="AD3" s="604" t="s">
        <v>451</v>
      </c>
      <c r="AE3" s="604" t="s">
        <v>452</v>
      </c>
      <c r="AF3" s="604" t="s">
        <v>453</v>
      </c>
      <c r="AG3" s="604" t="s">
        <v>454</v>
      </c>
      <c r="AH3" s="604" t="s">
        <v>1</v>
      </c>
      <c r="AI3" s="604" t="s">
        <v>2</v>
      </c>
      <c r="AJ3" s="605" t="s">
        <v>455</v>
      </c>
      <c r="AK3" s="606" t="s">
        <v>521</v>
      </c>
      <c r="AL3" s="22" t="s">
        <v>522</v>
      </c>
    </row>
    <row r="4" spans="1:38" ht="16.5" customHeight="1" thickBot="1">
      <c r="A4" s="877">
        <v>1</v>
      </c>
      <c r="B4" s="878" t="s">
        <v>223</v>
      </c>
      <c r="C4" s="877"/>
      <c r="D4" s="874"/>
      <c r="E4" s="874"/>
      <c r="F4" s="874"/>
      <c r="G4" s="875"/>
      <c r="H4" s="876">
        <v>0</v>
      </c>
      <c r="I4" s="866"/>
      <c r="J4" s="866"/>
      <c r="K4" s="866"/>
      <c r="L4" s="866"/>
      <c r="M4" s="866"/>
      <c r="N4" s="866"/>
      <c r="O4" s="866"/>
      <c r="P4" s="879"/>
      <c r="Q4" s="880">
        <f>IF(ISBLANK(A4),"",IF(ISBLANK(G4),SUM(H4:P5),0))</f>
        <v>0</v>
      </c>
      <c r="R4" s="859">
        <f>IF(Q4="","",Q4)</f>
        <v>0</v>
      </c>
      <c r="S4" s="868">
        <f>IF(G4="X",0,COUNT(H4:P5))</f>
        <v>1</v>
      </c>
      <c r="T4" s="877">
        <v>1</v>
      </c>
      <c r="U4" s="882" t="s">
        <v>241</v>
      </c>
      <c r="V4" s="877"/>
      <c r="W4" s="874" t="s">
        <v>531</v>
      </c>
      <c r="X4" s="874" t="s">
        <v>531</v>
      </c>
      <c r="Y4" s="874"/>
      <c r="Z4" s="875"/>
      <c r="AA4" s="876">
        <v>0</v>
      </c>
      <c r="AB4" s="866"/>
      <c r="AC4" s="866"/>
      <c r="AD4" s="866"/>
      <c r="AE4" s="866"/>
      <c r="AF4" s="866"/>
      <c r="AG4" s="866"/>
      <c r="AH4" s="866"/>
      <c r="AI4" s="879"/>
      <c r="AJ4" s="880">
        <f>IF(ISBLANK(T4),"",IF(ISBLANK(Z4),SUM(AA4:AI5),0))</f>
        <v>0</v>
      </c>
      <c r="AK4" s="859">
        <f>IF(AJ4="","",AJ4)</f>
        <v>0</v>
      </c>
      <c r="AL4" s="868">
        <f>IF(Z4="X",0,COUNT(AA4:AI5))</f>
        <v>1</v>
      </c>
    </row>
    <row r="5" spans="1:38" ht="16.5" customHeight="1">
      <c r="A5" s="877"/>
      <c r="B5" s="878"/>
      <c r="C5" s="877"/>
      <c r="D5" s="874"/>
      <c r="E5" s="874"/>
      <c r="F5" s="874"/>
      <c r="G5" s="875"/>
      <c r="H5" s="876"/>
      <c r="I5" s="866"/>
      <c r="J5" s="866"/>
      <c r="K5" s="866"/>
      <c r="L5" s="866"/>
      <c r="M5" s="866"/>
      <c r="N5" s="866"/>
      <c r="O5" s="866"/>
      <c r="P5" s="879"/>
      <c r="Q5" s="880"/>
      <c r="R5" s="859"/>
      <c r="S5" s="868"/>
      <c r="T5" s="877"/>
      <c r="U5" s="882"/>
      <c r="V5" s="877"/>
      <c r="W5" s="874"/>
      <c r="X5" s="874"/>
      <c r="Y5" s="874"/>
      <c r="Z5" s="875"/>
      <c r="AA5" s="876"/>
      <c r="AB5" s="866"/>
      <c r="AC5" s="866"/>
      <c r="AD5" s="866"/>
      <c r="AE5" s="866"/>
      <c r="AF5" s="866"/>
      <c r="AG5" s="866"/>
      <c r="AH5" s="866"/>
      <c r="AI5" s="879"/>
      <c r="AJ5" s="880"/>
      <c r="AK5" s="859"/>
      <c r="AL5" s="868"/>
    </row>
    <row r="6" spans="1:38" ht="16.5" customHeight="1">
      <c r="A6" s="855">
        <v>2</v>
      </c>
      <c r="B6" s="856" t="s">
        <v>59</v>
      </c>
      <c r="C6" s="855"/>
      <c r="D6" s="858" t="s">
        <v>531</v>
      </c>
      <c r="E6" s="858" t="s">
        <v>531</v>
      </c>
      <c r="F6" s="858"/>
      <c r="G6" s="860"/>
      <c r="H6" s="861">
        <v>4</v>
      </c>
      <c r="I6" s="857"/>
      <c r="J6" s="857"/>
      <c r="K6" s="857"/>
      <c r="L6" s="857"/>
      <c r="M6" s="857"/>
      <c r="N6" s="857"/>
      <c r="O6" s="857"/>
      <c r="P6" s="883"/>
      <c r="Q6" s="873">
        <f>IF(ISBLANK(A6),"",IF(ISBLANK(G6),SUM(H6:P7),0))</f>
        <v>4</v>
      </c>
      <c r="R6" s="872">
        <f>IF(Q6="","",Q6+R4)</f>
        <v>4</v>
      </c>
      <c r="S6" s="868">
        <f>IF(G6="X",0,COUNT(H6:P7))</f>
        <v>1</v>
      </c>
      <c r="T6" s="855">
        <v>2</v>
      </c>
      <c r="U6" s="881" t="s">
        <v>239</v>
      </c>
      <c r="V6" s="855"/>
      <c r="W6" s="858"/>
      <c r="X6" s="858"/>
      <c r="Y6" s="858"/>
      <c r="Z6" s="860"/>
      <c r="AA6" s="861">
        <v>0</v>
      </c>
      <c r="AB6" s="857"/>
      <c r="AC6" s="857"/>
      <c r="AD6" s="857"/>
      <c r="AE6" s="857"/>
      <c r="AF6" s="857"/>
      <c r="AG6" s="857"/>
      <c r="AH6" s="857"/>
      <c r="AI6" s="883"/>
      <c r="AJ6" s="873">
        <f>IF(ISBLANK(T6),"",IF(ISBLANK(Z6),SUM(AA6:AI7),0))</f>
        <v>0</v>
      </c>
      <c r="AK6" s="872">
        <f>IF(AJ6="","",AJ6+AK4)</f>
        <v>0</v>
      </c>
      <c r="AL6" s="868">
        <f>IF(Z6="X",0,COUNT(AA6:AI7))</f>
        <v>1</v>
      </c>
    </row>
    <row r="7" spans="1:38" ht="16.5" customHeight="1">
      <c r="A7" s="855"/>
      <c r="B7" s="856"/>
      <c r="C7" s="855"/>
      <c r="D7" s="858"/>
      <c r="E7" s="858"/>
      <c r="F7" s="858"/>
      <c r="G7" s="860"/>
      <c r="H7" s="861"/>
      <c r="I7" s="857"/>
      <c r="J7" s="857"/>
      <c r="K7" s="857"/>
      <c r="L7" s="857"/>
      <c r="M7" s="857"/>
      <c r="N7" s="857"/>
      <c r="O7" s="857"/>
      <c r="P7" s="883"/>
      <c r="Q7" s="873"/>
      <c r="R7" s="872"/>
      <c r="S7" s="868"/>
      <c r="T7" s="855"/>
      <c r="U7" s="881"/>
      <c r="V7" s="855"/>
      <c r="W7" s="858"/>
      <c r="X7" s="858"/>
      <c r="Y7" s="858"/>
      <c r="Z7" s="860"/>
      <c r="AA7" s="861"/>
      <c r="AB7" s="857"/>
      <c r="AC7" s="857"/>
      <c r="AD7" s="857"/>
      <c r="AE7" s="857"/>
      <c r="AF7" s="857"/>
      <c r="AG7" s="857"/>
      <c r="AH7" s="857"/>
      <c r="AI7" s="883"/>
      <c r="AJ7" s="884"/>
      <c r="AK7" s="872"/>
      <c r="AL7" s="868"/>
    </row>
    <row r="8" spans="1:38" ht="16.5" customHeight="1">
      <c r="A8" s="861">
        <v>3</v>
      </c>
      <c r="B8" s="890" t="s">
        <v>221</v>
      </c>
      <c r="C8" s="861"/>
      <c r="D8" s="857" t="s">
        <v>531</v>
      </c>
      <c r="E8" s="857" t="s">
        <v>531</v>
      </c>
      <c r="F8" s="857"/>
      <c r="G8" s="891"/>
      <c r="H8" s="892">
        <v>4</v>
      </c>
      <c r="I8" s="867"/>
      <c r="J8" s="867"/>
      <c r="K8" s="867"/>
      <c r="L8" s="867"/>
      <c r="M8" s="867"/>
      <c r="N8" s="867"/>
      <c r="O8" s="867"/>
      <c r="P8" s="889"/>
      <c r="Q8" s="871">
        <f>IF(ISBLANK(A8),"",IF(ISBLANK(G8),SUM(H8:P9),0))</f>
        <v>4</v>
      </c>
      <c r="R8" s="872">
        <f>IF(Q8="","",Q8+R6)</f>
        <v>8</v>
      </c>
      <c r="S8" s="868">
        <f>IF(G8="X",0,COUNT(H8:P9))</f>
        <v>1</v>
      </c>
      <c r="T8" s="861">
        <v>3</v>
      </c>
      <c r="U8" s="862" t="s">
        <v>76</v>
      </c>
      <c r="V8" s="864"/>
      <c r="W8" s="841"/>
      <c r="X8" s="841"/>
      <c r="Y8" s="841"/>
      <c r="Z8" s="843"/>
      <c r="AA8" s="845">
        <v>0</v>
      </c>
      <c r="AB8" s="847"/>
      <c r="AC8" s="847"/>
      <c r="AD8" s="847"/>
      <c r="AE8" s="847"/>
      <c r="AF8" s="847"/>
      <c r="AG8" s="847"/>
      <c r="AH8" s="847"/>
      <c r="AI8" s="885"/>
      <c r="AJ8" s="887">
        <f>IF(ISBLANK(T8),"",IF(ISBLANK(Z8),SUM(AA8:AI9),0))</f>
        <v>0</v>
      </c>
      <c r="AK8" s="872">
        <f>IF(AJ8="","",AJ8+AK6)</f>
        <v>0</v>
      </c>
      <c r="AL8" s="868">
        <f>IF(Z8="X",0,COUNT(AA8:AI9))</f>
        <v>1</v>
      </c>
    </row>
    <row r="9" spans="1:38" ht="16.5" customHeight="1">
      <c r="A9" s="861"/>
      <c r="B9" s="890"/>
      <c r="C9" s="861"/>
      <c r="D9" s="857"/>
      <c r="E9" s="857"/>
      <c r="F9" s="857"/>
      <c r="G9" s="891"/>
      <c r="H9" s="892"/>
      <c r="I9" s="867"/>
      <c r="J9" s="867"/>
      <c r="K9" s="867"/>
      <c r="L9" s="867"/>
      <c r="M9" s="867"/>
      <c r="N9" s="867"/>
      <c r="O9" s="867"/>
      <c r="P9" s="889"/>
      <c r="Q9" s="871"/>
      <c r="R9" s="872"/>
      <c r="S9" s="868"/>
      <c r="T9" s="861"/>
      <c r="U9" s="863"/>
      <c r="V9" s="865"/>
      <c r="W9" s="842"/>
      <c r="X9" s="842"/>
      <c r="Y9" s="842"/>
      <c r="Z9" s="844"/>
      <c r="AA9" s="846"/>
      <c r="AB9" s="848"/>
      <c r="AC9" s="848"/>
      <c r="AD9" s="848"/>
      <c r="AE9" s="848"/>
      <c r="AF9" s="848"/>
      <c r="AG9" s="848"/>
      <c r="AH9" s="848"/>
      <c r="AI9" s="886"/>
      <c r="AJ9" s="888"/>
      <c r="AK9" s="872"/>
      <c r="AL9" s="868"/>
    </row>
    <row r="10" spans="1:38" ht="16.5" customHeight="1">
      <c r="A10" s="855">
        <v>4</v>
      </c>
      <c r="B10" s="856" t="s">
        <v>53</v>
      </c>
      <c r="C10" s="855"/>
      <c r="D10" s="858" t="s">
        <v>531</v>
      </c>
      <c r="E10" s="858" t="s">
        <v>531</v>
      </c>
      <c r="F10" s="858"/>
      <c r="G10" s="860"/>
      <c r="H10" s="861">
        <v>0</v>
      </c>
      <c r="I10" s="857"/>
      <c r="J10" s="857"/>
      <c r="K10" s="857"/>
      <c r="L10" s="857"/>
      <c r="M10" s="857"/>
      <c r="N10" s="857"/>
      <c r="O10" s="857"/>
      <c r="P10" s="883"/>
      <c r="Q10" s="873">
        <f>IF(ISBLANK(A10),"",IF(ISBLANK(G10),SUM(H10:P11),0))</f>
        <v>0</v>
      </c>
      <c r="R10" s="872">
        <f>IF(Q10="","",Q10+R8)</f>
        <v>8</v>
      </c>
      <c r="S10" s="868">
        <f>IF(G10="X",0,COUNT(H10:P11))</f>
        <v>1</v>
      </c>
      <c r="T10" s="869">
        <v>4</v>
      </c>
      <c r="U10" s="895" t="s">
        <v>241</v>
      </c>
      <c r="V10" s="869"/>
      <c r="W10" s="897"/>
      <c r="X10" s="897"/>
      <c r="Y10" s="897"/>
      <c r="Z10" s="899"/>
      <c r="AA10" s="864">
        <v>0</v>
      </c>
      <c r="AB10" s="841"/>
      <c r="AC10" s="841"/>
      <c r="AD10" s="841"/>
      <c r="AE10" s="841"/>
      <c r="AF10" s="841"/>
      <c r="AG10" s="841"/>
      <c r="AH10" s="841"/>
      <c r="AI10" s="893"/>
      <c r="AJ10" s="901">
        <f>IF(ISBLANK(T10),"",IF(ISBLANK(Z10),SUM(AA10:AI11),0))</f>
        <v>0</v>
      </c>
      <c r="AK10" s="872">
        <f>IF(AJ10="","",AJ10+AK8)</f>
        <v>0</v>
      </c>
      <c r="AL10" s="868">
        <f>IF(Z10="X",0,COUNT(AA10:AI11))</f>
        <v>1</v>
      </c>
    </row>
    <row r="11" spans="1:38" ht="16.5" customHeight="1">
      <c r="A11" s="855"/>
      <c r="B11" s="856"/>
      <c r="C11" s="855"/>
      <c r="D11" s="858"/>
      <c r="E11" s="858"/>
      <c r="F11" s="858"/>
      <c r="G11" s="860"/>
      <c r="H11" s="861"/>
      <c r="I11" s="857"/>
      <c r="J11" s="857"/>
      <c r="K11" s="857"/>
      <c r="L11" s="857"/>
      <c r="M11" s="857"/>
      <c r="N11" s="857"/>
      <c r="O11" s="857"/>
      <c r="P11" s="883"/>
      <c r="Q11" s="873"/>
      <c r="R11" s="872"/>
      <c r="S11" s="868"/>
      <c r="T11" s="870"/>
      <c r="U11" s="896"/>
      <c r="V11" s="870"/>
      <c r="W11" s="898"/>
      <c r="X11" s="898"/>
      <c r="Y11" s="898"/>
      <c r="Z11" s="900"/>
      <c r="AA11" s="865"/>
      <c r="AB11" s="842"/>
      <c r="AC11" s="842"/>
      <c r="AD11" s="842"/>
      <c r="AE11" s="842"/>
      <c r="AF11" s="842"/>
      <c r="AG11" s="842"/>
      <c r="AH11" s="842"/>
      <c r="AI11" s="894"/>
      <c r="AJ11" s="902"/>
      <c r="AK11" s="872"/>
      <c r="AL11" s="868"/>
    </row>
    <row r="12" spans="1:38" ht="16.5" customHeight="1">
      <c r="A12" s="861">
        <v>5</v>
      </c>
      <c r="B12" s="890" t="s">
        <v>57</v>
      </c>
      <c r="C12" s="861"/>
      <c r="D12" s="857" t="s">
        <v>531</v>
      </c>
      <c r="E12" s="857" t="s">
        <v>531</v>
      </c>
      <c r="F12" s="857"/>
      <c r="G12" s="891"/>
      <c r="H12" s="892">
        <v>4</v>
      </c>
      <c r="I12" s="867"/>
      <c r="J12" s="867"/>
      <c r="K12" s="867"/>
      <c r="L12" s="867"/>
      <c r="M12" s="867"/>
      <c r="N12" s="867"/>
      <c r="O12" s="867"/>
      <c r="P12" s="889"/>
      <c r="Q12" s="871">
        <f>IF(ISBLANK(A12),"",IF(ISBLANK(G12),SUM(H12:P13),0))</f>
        <v>4</v>
      </c>
      <c r="R12" s="872">
        <f>IF(Q12="","",Q12+R10)</f>
        <v>12</v>
      </c>
      <c r="S12" s="868">
        <f>IF(G12="X",0,COUNT(H12:P13))</f>
        <v>1</v>
      </c>
      <c r="T12" s="861">
        <v>5</v>
      </c>
      <c r="U12" s="862" t="s">
        <v>239</v>
      </c>
      <c r="V12" s="864"/>
      <c r="W12" s="841"/>
      <c r="X12" s="841"/>
      <c r="Y12" s="841"/>
      <c r="Z12" s="843"/>
      <c r="AA12" s="845">
        <v>0</v>
      </c>
      <c r="AB12" s="847"/>
      <c r="AC12" s="847"/>
      <c r="AD12" s="847"/>
      <c r="AE12" s="847"/>
      <c r="AF12" s="847"/>
      <c r="AG12" s="847"/>
      <c r="AH12" s="847"/>
      <c r="AI12" s="885"/>
      <c r="AJ12" s="887">
        <f>IF(ISBLANK(T12),"",IF(ISBLANK(Z12),SUM(AA12:AI13),0))</f>
        <v>0</v>
      </c>
      <c r="AK12" s="872">
        <f>IF(AJ12="","",AJ12+AK10)</f>
        <v>0</v>
      </c>
      <c r="AL12" s="868">
        <f>IF(Z12="X",0,COUNT(AA12:AI13))</f>
        <v>1</v>
      </c>
    </row>
    <row r="13" spans="1:38" ht="16.5" customHeight="1">
      <c r="A13" s="861"/>
      <c r="B13" s="890"/>
      <c r="C13" s="861"/>
      <c r="D13" s="857"/>
      <c r="E13" s="857"/>
      <c r="F13" s="857"/>
      <c r="G13" s="891"/>
      <c r="H13" s="892"/>
      <c r="I13" s="867"/>
      <c r="J13" s="867"/>
      <c r="K13" s="867"/>
      <c r="L13" s="867"/>
      <c r="M13" s="867"/>
      <c r="N13" s="867"/>
      <c r="O13" s="867"/>
      <c r="P13" s="889"/>
      <c r="Q13" s="871"/>
      <c r="R13" s="872"/>
      <c r="S13" s="868"/>
      <c r="T13" s="861"/>
      <c r="U13" s="863"/>
      <c r="V13" s="865"/>
      <c r="W13" s="842"/>
      <c r="X13" s="842"/>
      <c r="Y13" s="842"/>
      <c r="Z13" s="844"/>
      <c r="AA13" s="846"/>
      <c r="AB13" s="848"/>
      <c r="AC13" s="848"/>
      <c r="AD13" s="848"/>
      <c r="AE13" s="848"/>
      <c r="AF13" s="848"/>
      <c r="AG13" s="848"/>
      <c r="AH13" s="848"/>
      <c r="AI13" s="886"/>
      <c r="AJ13" s="888"/>
      <c r="AK13" s="872"/>
      <c r="AL13" s="868"/>
    </row>
    <row r="14" spans="1:38" ht="16.5" customHeight="1">
      <c r="A14" s="855">
        <v>6</v>
      </c>
      <c r="B14" s="856" t="s">
        <v>59</v>
      </c>
      <c r="C14" s="855"/>
      <c r="D14" s="858"/>
      <c r="E14" s="858"/>
      <c r="F14" s="858"/>
      <c r="G14" s="860"/>
      <c r="H14" s="861">
        <v>0</v>
      </c>
      <c r="I14" s="857"/>
      <c r="J14" s="857"/>
      <c r="K14" s="857"/>
      <c r="L14" s="857"/>
      <c r="M14" s="857"/>
      <c r="N14" s="857"/>
      <c r="O14" s="857"/>
      <c r="P14" s="883"/>
      <c r="Q14" s="873">
        <f>IF(ISBLANK(A14),"",IF(ISBLANK(G14),SUM(H14:P15),0))</f>
        <v>0</v>
      </c>
      <c r="R14" s="872">
        <f>IF(Q14="","",Q14+R12)</f>
        <v>12</v>
      </c>
      <c r="S14" s="868">
        <f>IF(G14="X",0,COUNT(H14:P15))</f>
        <v>1</v>
      </c>
      <c r="T14" s="869">
        <v>6</v>
      </c>
      <c r="U14" s="895" t="s">
        <v>76</v>
      </c>
      <c r="V14" s="869"/>
      <c r="W14" s="897" t="s">
        <v>531</v>
      </c>
      <c r="X14" s="897" t="s">
        <v>531</v>
      </c>
      <c r="Y14" s="897"/>
      <c r="Z14" s="899"/>
      <c r="AA14" s="864">
        <v>4</v>
      </c>
      <c r="AB14" s="841"/>
      <c r="AC14" s="841"/>
      <c r="AD14" s="841"/>
      <c r="AE14" s="841"/>
      <c r="AF14" s="841"/>
      <c r="AG14" s="841"/>
      <c r="AH14" s="841"/>
      <c r="AI14" s="893"/>
      <c r="AJ14" s="901">
        <f>IF(ISBLANK(T14),"",IF(ISBLANK(Z14),SUM(AA14:AI15),0))</f>
        <v>4</v>
      </c>
      <c r="AK14" s="872">
        <f>IF(AJ14="","",AJ14+AK12)</f>
        <v>4</v>
      </c>
      <c r="AL14" s="868">
        <f>IF(Z14="X",0,COUNT(AA14:AI15))</f>
        <v>1</v>
      </c>
    </row>
    <row r="15" spans="1:38" ht="16.5" customHeight="1">
      <c r="A15" s="855"/>
      <c r="B15" s="856"/>
      <c r="C15" s="855"/>
      <c r="D15" s="858"/>
      <c r="E15" s="858"/>
      <c r="F15" s="858"/>
      <c r="G15" s="860"/>
      <c r="H15" s="861"/>
      <c r="I15" s="857"/>
      <c r="J15" s="857"/>
      <c r="K15" s="857"/>
      <c r="L15" s="857"/>
      <c r="M15" s="857"/>
      <c r="N15" s="857"/>
      <c r="O15" s="857"/>
      <c r="P15" s="883"/>
      <c r="Q15" s="873"/>
      <c r="R15" s="872"/>
      <c r="S15" s="868"/>
      <c r="T15" s="870"/>
      <c r="U15" s="896"/>
      <c r="V15" s="870"/>
      <c r="W15" s="898"/>
      <c r="X15" s="898"/>
      <c r="Y15" s="898"/>
      <c r="Z15" s="900"/>
      <c r="AA15" s="865"/>
      <c r="AB15" s="842"/>
      <c r="AC15" s="842"/>
      <c r="AD15" s="842"/>
      <c r="AE15" s="842"/>
      <c r="AF15" s="842"/>
      <c r="AG15" s="842"/>
      <c r="AH15" s="842"/>
      <c r="AI15" s="894"/>
      <c r="AJ15" s="902"/>
      <c r="AK15" s="872"/>
      <c r="AL15" s="868"/>
    </row>
    <row r="16" spans="1:38" ht="16.5" customHeight="1">
      <c r="A16" s="861">
        <v>7</v>
      </c>
      <c r="B16" s="890" t="s">
        <v>223</v>
      </c>
      <c r="C16" s="861"/>
      <c r="D16" s="857"/>
      <c r="E16" s="857"/>
      <c r="F16" s="857"/>
      <c r="G16" s="891"/>
      <c r="H16" s="892">
        <v>0</v>
      </c>
      <c r="I16" s="867"/>
      <c r="J16" s="867"/>
      <c r="K16" s="867"/>
      <c r="L16" s="867"/>
      <c r="M16" s="867"/>
      <c r="N16" s="867"/>
      <c r="O16" s="867"/>
      <c r="P16" s="889"/>
      <c r="Q16" s="871">
        <f>IF(ISBLANK(A16),"",IF(ISBLANK(G16),SUM(H16:P17),0))</f>
        <v>0</v>
      </c>
      <c r="R16" s="872">
        <f>IF(Q16="","",Q16+R14)</f>
        <v>12</v>
      </c>
      <c r="S16" s="868">
        <f>IF(G16="X",0,COUNT(H16:P17))</f>
        <v>1</v>
      </c>
      <c r="T16" s="861">
        <v>7</v>
      </c>
      <c r="U16" s="862" t="s">
        <v>241</v>
      </c>
      <c r="V16" s="864"/>
      <c r="W16" s="841" t="s">
        <v>531</v>
      </c>
      <c r="X16" s="841" t="s">
        <v>531</v>
      </c>
      <c r="Y16" s="841"/>
      <c r="Z16" s="843"/>
      <c r="AA16" s="845">
        <v>4</v>
      </c>
      <c r="AB16" s="847"/>
      <c r="AC16" s="847"/>
      <c r="AD16" s="847"/>
      <c r="AE16" s="847"/>
      <c r="AF16" s="847"/>
      <c r="AG16" s="847"/>
      <c r="AH16" s="847"/>
      <c r="AI16" s="885"/>
      <c r="AJ16" s="887">
        <f>IF(ISBLANK(T16),"",IF(ISBLANK(Z16),SUM(AA16:AI17),0))</f>
        <v>4</v>
      </c>
      <c r="AK16" s="872">
        <f>IF(AJ16="","",AJ16+AK14)</f>
        <v>8</v>
      </c>
      <c r="AL16" s="868">
        <f>IF(Z16="X",0,COUNT(AA16:AI17))</f>
        <v>1</v>
      </c>
    </row>
    <row r="17" spans="1:38" ht="16.5" customHeight="1">
      <c r="A17" s="861"/>
      <c r="B17" s="890"/>
      <c r="C17" s="861"/>
      <c r="D17" s="857"/>
      <c r="E17" s="857"/>
      <c r="F17" s="857"/>
      <c r="G17" s="891"/>
      <c r="H17" s="892"/>
      <c r="I17" s="867"/>
      <c r="J17" s="867"/>
      <c r="K17" s="867"/>
      <c r="L17" s="867"/>
      <c r="M17" s="867"/>
      <c r="N17" s="867"/>
      <c r="O17" s="867"/>
      <c r="P17" s="889"/>
      <c r="Q17" s="871"/>
      <c r="R17" s="872"/>
      <c r="S17" s="868"/>
      <c r="T17" s="861"/>
      <c r="U17" s="863"/>
      <c r="V17" s="865"/>
      <c r="W17" s="842"/>
      <c r="X17" s="842"/>
      <c r="Y17" s="842"/>
      <c r="Z17" s="844"/>
      <c r="AA17" s="846"/>
      <c r="AB17" s="848"/>
      <c r="AC17" s="848"/>
      <c r="AD17" s="848"/>
      <c r="AE17" s="848"/>
      <c r="AF17" s="848"/>
      <c r="AG17" s="848"/>
      <c r="AH17" s="848"/>
      <c r="AI17" s="886"/>
      <c r="AJ17" s="888"/>
      <c r="AK17" s="872"/>
      <c r="AL17" s="868"/>
    </row>
    <row r="18" spans="1:38" ht="16.5" customHeight="1">
      <c r="A18" s="855">
        <v>8</v>
      </c>
      <c r="B18" s="856" t="s">
        <v>53</v>
      </c>
      <c r="C18" s="855"/>
      <c r="D18" s="858" t="s">
        <v>531</v>
      </c>
      <c r="E18" s="858" t="s">
        <v>531</v>
      </c>
      <c r="F18" s="858"/>
      <c r="G18" s="860"/>
      <c r="H18" s="861">
        <v>1</v>
      </c>
      <c r="I18" s="857"/>
      <c r="J18" s="857"/>
      <c r="K18" s="857"/>
      <c r="L18" s="857"/>
      <c r="M18" s="857"/>
      <c r="N18" s="857"/>
      <c r="O18" s="857"/>
      <c r="P18" s="883"/>
      <c r="Q18" s="873">
        <f>IF(ISBLANK(A18),"",IF(ISBLANK(G18),SUM(H18:P19),0))</f>
        <v>1</v>
      </c>
      <c r="R18" s="872">
        <f>IF(Q18="","",Q18+R16)</f>
        <v>13</v>
      </c>
      <c r="S18" s="868">
        <f>IF(G18="X",0,COUNT(H18:P19))</f>
        <v>1</v>
      </c>
      <c r="T18" s="869">
        <v>8</v>
      </c>
      <c r="U18" s="895" t="s">
        <v>239</v>
      </c>
      <c r="V18" s="869"/>
      <c r="W18" s="897"/>
      <c r="X18" s="897"/>
      <c r="Y18" s="897"/>
      <c r="Z18" s="899"/>
      <c r="AA18" s="864">
        <v>0</v>
      </c>
      <c r="AB18" s="841"/>
      <c r="AC18" s="841"/>
      <c r="AD18" s="841"/>
      <c r="AE18" s="841"/>
      <c r="AF18" s="841"/>
      <c r="AG18" s="841"/>
      <c r="AH18" s="841"/>
      <c r="AI18" s="893"/>
      <c r="AJ18" s="901">
        <f>IF(ISBLANK(T18),"",IF(ISBLANK(Z18),SUM(AA18:AI19),0))</f>
        <v>0</v>
      </c>
      <c r="AK18" s="872">
        <f>IF(AJ18="","",AJ18+AK16)</f>
        <v>8</v>
      </c>
      <c r="AL18" s="868">
        <f>IF(Z18="X",0,COUNT(AA18:AI19))</f>
        <v>1</v>
      </c>
    </row>
    <row r="19" spans="1:38" ht="16.5" customHeight="1">
      <c r="A19" s="855"/>
      <c r="B19" s="856"/>
      <c r="C19" s="855"/>
      <c r="D19" s="858"/>
      <c r="E19" s="858"/>
      <c r="F19" s="858"/>
      <c r="G19" s="860"/>
      <c r="H19" s="861"/>
      <c r="I19" s="857"/>
      <c r="J19" s="857"/>
      <c r="K19" s="857"/>
      <c r="L19" s="857"/>
      <c r="M19" s="857"/>
      <c r="N19" s="857"/>
      <c r="O19" s="857"/>
      <c r="P19" s="883"/>
      <c r="Q19" s="873"/>
      <c r="R19" s="872"/>
      <c r="S19" s="868"/>
      <c r="T19" s="870"/>
      <c r="U19" s="896"/>
      <c r="V19" s="870"/>
      <c r="W19" s="898"/>
      <c r="X19" s="898"/>
      <c r="Y19" s="898"/>
      <c r="Z19" s="900"/>
      <c r="AA19" s="865"/>
      <c r="AB19" s="842"/>
      <c r="AC19" s="842"/>
      <c r="AD19" s="842"/>
      <c r="AE19" s="842"/>
      <c r="AF19" s="842"/>
      <c r="AG19" s="842"/>
      <c r="AH19" s="842"/>
      <c r="AI19" s="894"/>
      <c r="AJ19" s="902"/>
      <c r="AK19" s="872"/>
      <c r="AL19" s="868"/>
    </row>
    <row r="20" spans="1:38" ht="16.5" customHeight="1">
      <c r="A20" s="861">
        <v>9</v>
      </c>
      <c r="B20" s="890" t="s">
        <v>221</v>
      </c>
      <c r="C20" s="861"/>
      <c r="D20" s="857" t="s">
        <v>531</v>
      </c>
      <c r="E20" s="857" t="s">
        <v>531</v>
      </c>
      <c r="F20" s="857"/>
      <c r="G20" s="891"/>
      <c r="H20" s="892">
        <v>4</v>
      </c>
      <c r="I20" s="867"/>
      <c r="J20" s="867"/>
      <c r="K20" s="867"/>
      <c r="L20" s="867"/>
      <c r="M20" s="867"/>
      <c r="N20" s="867"/>
      <c r="O20" s="867"/>
      <c r="P20" s="889"/>
      <c r="Q20" s="871">
        <f>IF(ISBLANK(A20),"",IF(ISBLANK(G20),SUM(H20:P21),0))</f>
        <v>4</v>
      </c>
      <c r="R20" s="872">
        <f>IF(Q20="","",Q20+R18)</f>
        <v>17</v>
      </c>
      <c r="S20" s="868">
        <f>IF(G20="X",0,COUNT(H20:P21))</f>
        <v>1</v>
      </c>
      <c r="T20" s="861">
        <v>9</v>
      </c>
      <c r="U20" s="862" t="s">
        <v>76</v>
      </c>
      <c r="V20" s="864"/>
      <c r="W20" s="841"/>
      <c r="X20" s="841"/>
      <c r="Y20" s="841"/>
      <c r="Z20" s="843"/>
      <c r="AA20" s="845">
        <v>0</v>
      </c>
      <c r="AB20" s="847"/>
      <c r="AC20" s="847"/>
      <c r="AD20" s="847"/>
      <c r="AE20" s="847"/>
      <c r="AF20" s="847"/>
      <c r="AG20" s="847"/>
      <c r="AH20" s="847"/>
      <c r="AI20" s="885"/>
      <c r="AJ20" s="887">
        <f>IF(ISBLANK(T20),"",IF(ISBLANK(Z20),SUM(AA20:AI21),0))</f>
        <v>0</v>
      </c>
      <c r="AK20" s="872">
        <f>IF(AJ20="","",AJ20+AK18)</f>
        <v>8</v>
      </c>
      <c r="AL20" s="868">
        <f>IF(Z20="X",0,COUNT(AA20:AI21))</f>
        <v>1</v>
      </c>
    </row>
    <row r="21" spans="1:38" ht="16.5" customHeight="1">
      <c r="A21" s="861"/>
      <c r="B21" s="890"/>
      <c r="C21" s="861"/>
      <c r="D21" s="857"/>
      <c r="E21" s="857"/>
      <c r="F21" s="857"/>
      <c r="G21" s="891"/>
      <c r="H21" s="892"/>
      <c r="I21" s="867"/>
      <c r="J21" s="867"/>
      <c r="K21" s="867"/>
      <c r="L21" s="867"/>
      <c r="M21" s="867"/>
      <c r="N21" s="867"/>
      <c r="O21" s="867"/>
      <c r="P21" s="889"/>
      <c r="Q21" s="871"/>
      <c r="R21" s="872"/>
      <c r="S21" s="868"/>
      <c r="T21" s="861"/>
      <c r="U21" s="863"/>
      <c r="V21" s="865"/>
      <c r="W21" s="842"/>
      <c r="X21" s="842"/>
      <c r="Y21" s="842"/>
      <c r="Z21" s="844"/>
      <c r="AA21" s="846"/>
      <c r="AB21" s="848"/>
      <c r="AC21" s="848"/>
      <c r="AD21" s="848"/>
      <c r="AE21" s="848"/>
      <c r="AF21" s="848"/>
      <c r="AG21" s="848"/>
      <c r="AH21" s="848"/>
      <c r="AI21" s="886"/>
      <c r="AJ21" s="888"/>
      <c r="AK21" s="872"/>
      <c r="AL21" s="868"/>
    </row>
    <row r="22" spans="1:38" ht="16.5" customHeight="1">
      <c r="A22" s="855">
        <v>10</v>
      </c>
      <c r="B22" s="856" t="s">
        <v>59</v>
      </c>
      <c r="C22" s="855"/>
      <c r="D22" s="858"/>
      <c r="E22" s="858"/>
      <c r="F22" s="858"/>
      <c r="G22" s="860"/>
      <c r="H22" s="861">
        <v>0</v>
      </c>
      <c r="I22" s="857"/>
      <c r="J22" s="857"/>
      <c r="K22" s="857"/>
      <c r="L22" s="857"/>
      <c r="M22" s="857"/>
      <c r="N22" s="857"/>
      <c r="O22" s="857"/>
      <c r="P22" s="883"/>
      <c r="Q22" s="873">
        <f>IF(ISBLANK(A22),"",IF(ISBLANK(G22),SUM(H22:P23),0))</f>
        <v>0</v>
      </c>
      <c r="R22" s="872">
        <f>IF(Q22="","",Q22+R20)</f>
        <v>17</v>
      </c>
      <c r="S22" s="868">
        <f>IF(G22="X",0,COUNT(H22:P23))</f>
        <v>1</v>
      </c>
      <c r="T22" s="869">
        <v>10</v>
      </c>
      <c r="U22" s="895" t="s">
        <v>241</v>
      </c>
      <c r="V22" s="869"/>
      <c r="W22" s="897" t="s">
        <v>531</v>
      </c>
      <c r="X22" s="897" t="s">
        <v>531</v>
      </c>
      <c r="Y22" s="897"/>
      <c r="Z22" s="899"/>
      <c r="AA22" s="864">
        <v>4</v>
      </c>
      <c r="AB22" s="841"/>
      <c r="AC22" s="841"/>
      <c r="AD22" s="841"/>
      <c r="AE22" s="841"/>
      <c r="AF22" s="841"/>
      <c r="AG22" s="841"/>
      <c r="AH22" s="841"/>
      <c r="AI22" s="893"/>
      <c r="AJ22" s="901">
        <f>IF(ISBLANK(T22),"",IF(ISBLANK(Z22),SUM(AA22:AI23),0))</f>
        <v>4</v>
      </c>
      <c r="AK22" s="872">
        <f>IF(AJ22="","",AJ22+AK20)</f>
        <v>12</v>
      </c>
      <c r="AL22" s="868">
        <f>IF(Z22="X",0,COUNT(AA22:AI23))</f>
        <v>1</v>
      </c>
    </row>
    <row r="23" spans="1:38" ht="16.5" customHeight="1">
      <c r="A23" s="855"/>
      <c r="B23" s="856"/>
      <c r="C23" s="855"/>
      <c r="D23" s="858"/>
      <c r="E23" s="858"/>
      <c r="F23" s="858"/>
      <c r="G23" s="860"/>
      <c r="H23" s="861"/>
      <c r="I23" s="857"/>
      <c r="J23" s="857"/>
      <c r="K23" s="857"/>
      <c r="L23" s="857"/>
      <c r="M23" s="857"/>
      <c r="N23" s="857"/>
      <c r="O23" s="857"/>
      <c r="P23" s="883"/>
      <c r="Q23" s="873"/>
      <c r="R23" s="872"/>
      <c r="S23" s="868"/>
      <c r="T23" s="870"/>
      <c r="U23" s="896"/>
      <c r="V23" s="870"/>
      <c r="W23" s="898"/>
      <c r="X23" s="898"/>
      <c r="Y23" s="898"/>
      <c r="Z23" s="900"/>
      <c r="AA23" s="865"/>
      <c r="AB23" s="842"/>
      <c r="AC23" s="842"/>
      <c r="AD23" s="842"/>
      <c r="AE23" s="842"/>
      <c r="AF23" s="842"/>
      <c r="AG23" s="842"/>
      <c r="AH23" s="842"/>
      <c r="AI23" s="894"/>
      <c r="AJ23" s="902"/>
      <c r="AK23" s="872"/>
      <c r="AL23" s="868"/>
    </row>
    <row r="24" spans="1:38" ht="16.5" customHeight="1">
      <c r="A24" s="861">
        <v>11</v>
      </c>
      <c r="B24" s="890" t="s">
        <v>57</v>
      </c>
      <c r="C24" s="861"/>
      <c r="D24" s="857"/>
      <c r="E24" s="857"/>
      <c r="F24" s="857"/>
      <c r="G24" s="891"/>
      <c r="H24" s="892">
        <v>0</v>
      </c>
      <c r="I24" s="867"/>
      <c r="J24" s="867"/>
      <c r="K24" s="867"/>
      <c r="L24" s="867"/>
      <c r="M24" s="867"/>
      <c r="N24" s="867"/>
      <c r="O24" s="867"/>
      <c r="P24" s="889"/>
      <c r="Q24" s="871">
        <f>IF(ISBLANK(A24),"",IF(ISBLANK(G24),SUM(H24:P25),0))</f>
        <v>0</v>
      </c>
      <c r="R24" s="872">
        <f>IF(Q24="","",Q24+R22)</f>
        <v>17</v>
      </c>
      <c r="S24" s="868">
        <f>IF(G24="X",0,COUNT(H24:P25))</f>
        <v>1</v>
      </c>
      <c r="T24" s="861">
        <v>11</v>
      </c>
      <c r="U24" s="862" t="s">
        <v>239</v>
      </c>
      <c r="V24" s="864"/>
      <c r="W24" s="841" t="s">
        <v>531</v>
      </c>
      <c r="X24" s="841" t="s">
        <v>531</v>
      </c>
      <c r="Y24" s="841"/>
      <c r="Z24" s="843"/>
      <c r="AA24" s="845">
        <v>0</v>
      </c>
      <c r="AB24" s="847"/>
      <c r="AC24" s="847"/>
      <c r="AD24" s="847"/>
      <c r="AE24" s="847"/>
      <c r="AF24" s="847"/>
      <c r="AG24" s="847"/>
      <c r="AH24" s="847"/>
      <c r="AI24" s="885"/>
      <c r="AJ24" s="887">
        <f>IF(ISBLANK(T24),"",IF(ISBLANK(Z24),SUM(AA24:AI25),0))</f>
        <v>0</v>
      </c>
      <c r="AK24" s="872">
        <f>IF(AJ24="","",AJ24+AK22)</f>
        <v>12</v>
      </c>
      <c r="AL24" s="868">
        <f>IF(Z24="X",0,COUNT(AA24:AI25))</f>
        <v>1</v>
      </c>
    </row>
    <row r="25" spans="1:38" ht="16.5" customHeight="1">
      <c r="A25" s="861"/>
      <c r="B25" s="890"/>
      <c r="C25" s="861"/>
      <c r="D25" s="857"/>
      <c r="E25" s="857"/>
      <c r="F25" s="857"/>
      <c r="G25" s="891"/>
      <c r="H25" s="892"/>
      <c r="I25" s="867"/>
      <c r="J25" s="867"/>
      <c r="K25" s="867"/>
      <c r="L25" s="867"/>
      <c r="M25" s="867"/>
      <c r="N25" s="867"/>
      <c r="O25" s="867"/>
      <c r="P25" s="889"/>
      <c r="Q25" s="871"/>
      <c r="R25" s="872"/>
      <c r="S25" s="868"/>
      <c r="T25" s="861"/>
      <c r="U25" s="863"/>
      <c r="V25" s="865"/>
      <c r="W25" s="842"/>
      <c r="X25" s="842"/>
      <c r="Y25" s="842"/>
      <c r="Z25" s="844"/>
      <c r="AA25" s="846"/>
      <c r="AB25" s="848"/>
      <c r="AC25" s="848"/>
      <c r="AD25" s="848"/>
      <c r="AE25" s="848"/>
      <c r="AF25" s="848"/>
      <c r="AG25" s="848"/>
      <c r="AH25" s="848"/>
      <c r="AI25" s="886"/>
      <c r="AJ25" s="888"/>
      <c r="AK25" s="872"/>
      <c r="AL25" s="868"/>
    </row>
    <row r="26" spans="1:38" ht="16.5" customHeight="1">
      <c r="A26" s="855">
        <v>12</v>
      </c>
      <c r="B26" s="856" t="s">
        <v>53</v>
      </c>
      <c r="C26" s="855"/>
      <c r="D26" s="858"/>
      <c r="E26" s="858"/>
      <c r="F26" s="858"/>
      <c r="G26" s="860"/>
      <c r="H26" s="861">
        <v>0</v>
      </c>
      <c r="I26" s="857"/>
      <c r="J26" s="857"/>
      <c r="K26" s="857"/>
      <c r="L26" s="857"/>
      <c r="M26" s="857"/>
      <c r="N26" s="857"/>
      <c r="O26" s="857"/>
      <c r="P26" s="883"/>
      <c r="Q26" s="873">
        <f>IF(ISBLANK(A26),"",IF(ISBLANK(G26),SUM(H26:P27),0))</f>
        <v>0</v>
      </c>
      <c r="R26" s="872">
        <f>IF(Q26="","",Q26+R24)</f>
        <v>17</v>
      </c>
      <c r="S26" s="868">
        <f>IF(G26="X",0,COUNT(H26:P27))</f>
        <v>1</v>
      </c>
      <c r="T26" s="869">
        <v>12</v>
      </c>
      <c r="U26" s="895" t="s">
        <v>76</v>
      </c>
      <c r="V26" s="869"/>
      <c r="W26" s="897" t="s">
        <v>531</v>
      </c>
      <c r="X26" s="897" t="s">
        <v>531</v>
      </c>
      <c r="Y26" s="897"/>
      <c r="Z26" s="899"/>
      <c r="AA26" s="864">
        <v>1</v>
      </c>
      <c r="AB26" s="841"/>
      <c r="AC26" s="841"/>
      <c r="AD26" s="841"/>
      <c r="AE26" s="841"/>
      <c r="AF26" s="841"/>
      <c r="AG26" s="841"/>
      <c r="AH26" s="841"/>
      <c r="AI26" s="893"/>
      <c r="AJ26" s="901">
        <f>IF(ISBLANK(T26),"",IF(ISBLANK(Z26),SUM(AA26:AI27),0))</f>
        <v>1</v>
      </c>
      <c r="AK26" s="872">
        <f>IF(AJ26="","",AJ26+AK24)</f>
        <v>13</v>
      </c>
      <c r="AL26" s="868">
        <f>IF(Z26="X",0,COUNT(AA26:AI27))</f>
        <v>1</v>
      </c>
    </row>
    <row r="27" spans="1:38" ht="16.5" customHeight="1">
      <c r="A27" s="855"/>
      <c r="B27" s="856"/>
      <c r="C27" s="855"/>
      <c r="D27" s="858"/>
      <c r="E27" s="858"/>
      <c r="F27" s="858"/>
      <c r="G27" s="860"/>
      <c r="H27" s="861"/>
      <c r="I27" s="857"/>
      <c r="J27" s="857"/>
      <c r="K27" s="857"/>
      <c r="L27" s="857"/>
      <c r="M27" s="857"/>
      <c r="N27" s="857"/>
      <c r="O27" s="857"/>
      <c r="P27" s="883"/>
      <c r="Q27" s="873"/>
      <c r="R27" s="872"/>
      <c r="S27" s="868"/>
      <c r="T27" s="870"/>
      <c r="U27" s="896"/>
      <c r="V27" s="870"/>
      <c r="W27" s="898"/>
      <c r="X27" s="898"/>
      <c r="Y27" s="898"/>
      <c r="Z27" s="900"/>
      <c r="AA27" s="865"/>
      <c r="AB27" s="842"/>
      <c r="AC27" s="842"/>
      <c r="AD27" s="842"/>
      <c r="AE27" s="842"/>
      <c r="AF27" s="842"/>
      <c r="AG27" s="842"/>
      <c r="AH27" s="842"/>
      <c r="AI27" s="894"/>
      <c r="AJ27" s="902"/>
      <c r="AK27" s="872"/>
      <c r="AL27" s="868"/>
    </row>
    <row r="28" spans="1:38" ht="16.5" customHeight="1">
      <c r="A28" s="861">
        <v>13</v>
      </c>
      <c r="B28" s="890" t="s">
        <v>57</v>
      </c>
      <c r="C28" s="861" t="s">
        <v>531</v>
      </c>
      <c r="D28" s="857"/>
      <c r="E28" s="857"/>
      <c r="F28" s="857"/>
      <c r="G28" s="891"/>
      <c r="H28" s="892">
        <v>5</v>
      </c>
      <c r="I28" s="867">
        <v>5</v>
      </c>
      <c r="J28" s="867">
        <v>1</v>
      </c>
      <c r="K28" s="867"/>
      <c r="L28" s="867"/>
      <c r="M28" s="867"/>
      <c r="N28" s="867"/>
      <c r="O28" s="867"/>
      <c r="P28" s="889"/>
      <c r="Q28" s="871">
        <f>IF(ISBLANK(A28),"",IF(ISBLANK(G28),SUM(H28:P29),0))</f>
        <v>11</v>
      </c>
      <c r="R28" s="872">
        <f>IF(Q28="","",Q28+R26)</f>
        <v>28</v>
      </c>
      <c r="S28" s="868">
        <f>IF(G28="X",0,COUNT(H28:P29))</f>
        <v>3</v>
      </c>
      <c r="T28" s="861">
        <v>13</v>
      </c>
      <c r="U28" s="862" t="s">
        <v>241</v>
      </c>
      <c r="V28" s="864" t="s">
        <v>531</v>
      </c>
      <c r="W28" s="841"/>
      <c r="X28" s="841"/>
      <c r="Y28" s="841"/>
      <c r="Z28" s="843"/>
      <c r="AA28" s="845">
        <v>0</v>
      </c>
      <c r="AB28" s="847"/>
      <c r="AC28" s="847"/>
      <c r="AD28" s="847"/>
      <c r="AE28" s="847"/>
      <c r="AF28" s="847"/>
      <c r="AG28" s="847"/>
      <c r="AH28" s="847"/>
      <c r="AI28" s="885"/>
      <c r="AJ28" s="887">
        <f>IF(ISBLANK(T28),"",IF(ISBLANK(Z28),SUM(AA28:AI29),0))</f>
        <v>0</v>
      </c>
      <c r="AK28" s="872">
        <f>IF(AJ28="","",AJ28+AK26)</f>
        <v>13</v>
      </c>
      <c r="AL28" s="868">
        <f>IF(Z28="X",0,COUNT(AA28:AI29))</f>
        <v>1</v>
      </c>
    </row>
    <row r="29" spans="1:38" ht="16.5" customHeight="1">
      <c r="A29" s="861"/>
      <c r="B29" s="890"/>
      <c r="C29" s="861"/>
      <c r="D29" s="857"/>
      <c r="E29" s="857"/>
      <c r="F29" s="857"/>
      <c r="G29" s="891"/>
      <c r="H29" s="892"/>
      <c r="I29" s="867"/>
      <c r="J29" s="867"/>
      <c r="K29" s="867"/>
      <c r="L29" s="867"/>
      <c r="M29" s="867"/>
      <c r="N29" s="867"/>
      <c r="O29" s="867"/>
      <c r="P29" s="889"/>
      <c r="Q29" s="871"/>
      <c r="R29" s="872"/>
      <c r="S29" s="868"/>
      <c r="T29" s="861"/>
      <c r="U29" s="863"/>
      <c r="V29" s="865"/>
      <c r="W29" s="842"/>
      <c r="X29" s="842"/>
      <c r="Y29" s="842"/>
      <c r="Z29" s="844"/>
      <c r="AA29" s="846"/>
      <c r="AB29" s="848"/>
      <c r="AC29" s="848"/>
      <c r="AD29" s="848"/>
      <c r="AE29" s="848"/>
      <c r="AF29" s="848"/>
      <c r="AG29" s="848"/>
      <c r="AH29" s="848"/>
      <c r="AI29" s="886"/>
      <c r="AJ29" s="888"/>
      <c r="AK29" s="872"/>
      <c r="AL29" s="868"/>
    </row>
    <row r="30" spans="1:38" ht="16.5" customHeight="1">
      <c r="A30" s="855">
        <v>14</v>
      </c>
      <c r="B30" s="856" t="s">
        <v>57</v>
      </c>
      <c r="C30" s="855"/>
      <c r="D30" s="858"/>
      <c r="E30" s="858"/>
      <c r="F30" s="858"/>
      <c r="G30" s="860"/>
      <c r="H30" s="861">
        <v>0</v>
      </c>
      <c r="I30" s="857"/>
      <c r="J30" s="857"/>
      <c r="K30" s="857"/>
      <c r="L30" s="857"/>
      <c r="M30" s="857"/>
      <c r="N30" s="857"/>
      <c r="O30" s="857"/>
      <c r="P30" s="883"/>
      <c r="Q30" s="873">
        <f>IF(ISBLANK(A30),"",IF(ISBLANK(G30),SUM(H30:P31),0))</f>
        <v>0</v>
      </c>
      <c r="R30" s="872">
        <f>IF(Q30="","",Q30+R28)</f>
        <v>28</v>
      </c>
      <c r="S30" s="868">
        <f>IF(G30="X",0,COUNT(H30:P31))</f>
        <v>1</v>
      </c>
      <c r="T30" s="869">
        <v>14</v>
      </c>
      <c r="U30" s="895" t="s">
        <v>241</v>
      </c>
      <c r="V30" s="869"/>
      <c r="W30" s="897" t="s">
        <v>531</v>
      </c>
      <c r="X30" s="897" t="s">
        <v>531</v>
      </c>
      <c r="Y30" s="897"/>
      <c r="Z30" s="899"/>
      <c r="AA30" s="864">
        <v>5</v>
      </c>
      <c r="AB30" s="841">
        <v>5</v>
      </c>
      <c r="AC30" s="841"/>
      <c r="AD30" s="841"/>
      <c r="AE30" s="841"/>
      <c r="AF30" s="841"/>
      <c r="AG30" s="841"/>
      <c r="AH30" s="841"/>
      <c r="AI30" s="893"/>
      <c r="AJ30" s="901">
        <f>IF(ISBLANK(T30),"",IF(ISBLANK(Z30),SUM(AA30:AI31),0))</f>
        <v>10</v>
      </c>
      <c r="AK30" s="872">
        <f>IF(AJ30="","",AJ30+AK28)</f>
        <v>23</v>
      </c>
      <c r="AL30" s="868">
        <f>IF(Z30="X",0,COUNT(AA30:AI31))</f>
        <v>2</v>
      </c>
    </row>
    <row r="31" spans="1:38" ht="16.5" customHeight="1">
      <c r="A31" s="855"/>
      <c r="B31" s="856"/>
      <c r="C31" s="855"/>
      <c r="D31" s="858"/>
      <c r="E31" s="858"/>
      <c r="F31" s="858"/>
      <c r="G31" s="860"/>
      <c r="H31" s="861"/>
      <c r="I31" s="857"/>
      <c r="J31" s="857"/>
      <c r="K31" s="857"/>
      <c r="L31" s="857"/>
      <c r="M31" s="857"/>
      <c r="N31" s="857"/>
      <c r="O31" s="857"/>
      <c r="P31" s="883"/>
      <c r="Q31" s="873"/>
      <c r="R31" s="872"/>
      <c r="S31" s="868"/>
      <c r="T31" s="870"/>
      <c r="U31" s="896"/>
      <c r="V31" s="870"/>
      <c r="W31" s="898"/>
      <c r="X31" s="898"/>
      <c r="Y31" s="898"/>
      <c r="Z31" s="900"/>
      <c r="AA31" s="865"/>
      <c r="AB31" s="842"/>
      <c r="AC31" s="842"/>
      <c r="AD31" s="842"/>
      <c r="AE31" s="842"/>
      <c r="AF31" s="842"/>
      <c r="AG31" s="842"/>
      <c r="AH31" s="842"/>
      <c r="AI31" s="894"/>
      <c r="AJ31" s="902"/>
      <c r="AK31" s="872"/>
      <c r="AL31" s="868"/>
    </row>
    <row r="32" spans="1:38" ht="16.5" customHeight="1">
      <c r="A32" s="861">
        <v>15</v>
      </c>
      <c r="B32" s="890" t="s">
        <v>223</v>
      </c>
      <c r="C32" s="861"/>
      <c r="D32" s="857" t="s">
        <v>531</v>
      </c>
      <c r="E32" s="857" t="s">
        <v>531</v>
      </c>
      <c r="F32" s="857"/>
      <c r="G32" s="891"/>
      <c r="H32" s="892">
        <v>4</v>
      </c>
      <c r="I32" s="867"/>
      <c r="J32" s="867"/>
      <c r="K32" s="867"/>
      <c r="L32" s="867"/>
      <c r="M32" s="867"/>
      <c r="N32" s="867"/>
      <c r="O32" s="867"/>
      <c r="P32" s="889"/>
      <c r="Q32" s="871">
        <f>IF(ISBLANK(A32),"",IF(ISBLANK(G32),SUM(H32:P33),0))</f>
        <v>4</v>
      </c>
      <c r="R32" s="872">
        <f>IF(Q32="","",Q32+R30)</f>
        <v>32</v>
      </c>
      <c r="S32" s="868">
        <f>IF(G32="X",0,COUNT(H32:P33))</f>
        <v>1</v>
      </c>
      <c r="T32" s="861">
        <v>15</v>
      </c>
      <c r="U32" s="862" t="s">
        <v>76</v>
      </c>
      <c r="V32" s="864"/>
      <c r="W32" s="841"/>
      <c r="X32" s="841"/>
      <c r="Y32" s="841"/>
      <c r="Z32" s="843"/>
      <c r="AA32" s="845">
        <v>0</v>
      </c>
      <c r="AB32" s="847"/>
      <c r="AC32" s="847"/>
      <c r="AD32" s="847"/>
      <c r="AE32" s="847"/>
      <c r="AF32" s="847"/>
      <c r="AG32" s="847"/>
      <c r="AH32" s="847"/>
      <c r="AI32" s="885"/>
      <c r="AJ32" s="887">
        <f>IF(ISBLANK(T32),"",IF(ISBLANK(Z32),SUM(AA32:AI33),0))</f>
        <v>0</v>
      </c>
      <c r="AK32" s="872">
        <f>IF(AJ32="","",AJ32+AK30)</f>
        <v>23</v>
      </c>
      <c r="AL32" s="868">
        <f>IF(Z32="X",0,COUNT(AA32:AI33))</f>
        <v>1</v>
      </c>
    </row>
    <row r="33" spans="1:38" ht="16.5" customHeight="1">
      <c r="A33" s="861"/>
      <c r="B33" s="890"/>
      <c r="C33" s="861"/>
      <c r="D33" s="857"/>
      <c r="E33" s="857"/>
      <c r="F33" s="857"/>
      <c r="G33" s="891"/>
      <c r="H33" s="892"/>
      <c r="I33" s="867"/>
      <c r="J33" s="867"/>
      <c r="K33" s="867"/>
      <c r="L33" s="867"/>
      <c r="M33" s="867"/>
      <c r="N33" s="867"/>
      <c r="O33" s="867"/>
      <c r="P33" s="889"/>
      <c r="Q33" s="871"/>
      <c r="R33" s="872"/>
      <c r="S33" s="868"/>
      <c r="T33" s="861"/>
      <c r="U33" s="863"/>
      <c r="V33" s="865"/>
      <c r="W33" s="842"/>
      <c r="X33" s="842"/>
      <c r="Y33" s="842"/>
      <c r="Z33" s="844"/>
      <c r="AA33" s="846"/>
      <c r="AB33" s="848"/>
      <c r="AC33" s="848"/>
      <c r="AD33" s="848"/>
      <c r="AE33" s="848"/>
      <c r="AF33" s="848"/>
      <c r="AG33" s="848"/>
      <c r="AH33" s="848"/>
      <c r="AI33" s="886"/>
      <c r="AJ33" s="888"/>
      <c r="AK33" s="872"/>
      <c r="AL33" s="868"/>
    </row>
    <row r="34" spans="1:38" ht="16.5" customHeight="1">
      <c r="A34" s="855">
        <v>16</v>
      </c>
      <c r="B34" s="856" t="s">
        <v>53</v>
      </c>
      <c r="C34" s="855"/>
      <c r="D34" s="858" t="s">
        <v>531</v>
      </c>
      <c r="E34" s="858" t="s">
        <v>531</v>
      </c>
      <c r="F34" s="858"/>
      <c r="G34" s="860"/>
      <c r="H34" s="861">
        <v>5</v>
      </c>
      <c r="I34" s="857">
        <v>4</v>
      </c>
      <c r="J34" s="857"/>
      <c r="K34" s="857"/>
      <c r="L34" s="857"/>
      <c r="M34" s="857"/>
      <c r="N34" s="857"/>
      <c r="O34" s="857"/>
      <c r="P34" s="883"/>
      <c r="Q34" s="873">
        <f>IF(ISBLANK(A34),"",IF(ISBLANK(G34),SUM(H34:P35),0))</f>
        <v>9</v>
      </c>
      <c r="R34" s="872">
        <f>IF(Q34="","",Q34+R32)</f>
        <v>41</v>
      </c>
      <c r="S34" s="868">
        <f>IF(G34="X",0,COUNT(H34:P35))</f>
        <v>2</v>
      </c>
      <c r="T34" s="869">
        <v>16</v>
      </c>
      <c r="U34" s="895" t="s">
        <v>239</v>
      </c>
      <c r="V34" s="869"/>
      <c r="W34" s="897"/>
      <c r="X34" s="897"/>
      <c r="Y34" s="897"/>
      <c r="Z34" s="899"/>
      <c r="AA34" s="864">
        <v>0</v>
      </c>
      <c r="AB34" s="841"/>
      <c r="AC34" s="841"/>
      <c r="AD34" s="841"/>
      <c r="AE34" s="841"/>
      <c r="AF34" s="841"/>
      <c r="AG34" s="841"/>
      <c r="AH34" s="841"/>
      <c r="AI34" s="893"/>
      <c r="AJ34" s="901">
        <f>IF(ISBLANK(T34),"",IF(ISBLANK(Z34),SUM(AA34:AI35),0))</f>
        <v>0</v>
      </c>
      <c r="AK34" s="872">
        <f>IF(AJ34="","",AJ34+AK32)</f>
        <v>23</v>
      </c>
      <c r="AL34" s="868">
        <f>IF(Z34="X",0,COUNT(AA34:AI35))</f>
        <v>1</v>
      </c>
    </row>
    <row r="35" spans="1:38" ht="16.5" customHeight="1">
      <c r="A35" s="855"/>
      <c r="B35" s="856"/>
      <c r="C35" s="855"/>
      <c r="D35" s="858"/>
      <c r="E35" s="858"/>
      <c r="F35" s="858"/>
      <c r="G35" s="860"/>
      <c r="H35" s="861"/>
      <c r="I35" s="857"/>
      <c r="J35" s="857"/>
      <c r="K35" s="857"/>
      <c r="L35" s="857"/>
      <c r="M35" s="857"/>
      <c r="N35" s="857"/>
      <c r="O35" s="857"/>
      <c r="P35" s="883"/>
      <c r="Q35" s="873"/>
      <c r="R35" s="872"/>
      <c r="S35" s="868"/>
      <c r="T35" s="870"/>
      <c r="U35" s="896"/>
      <c r="V35" s="870"/>
      <c r="W35" s="898"/>
      <c r="X35" s="898"/>
      <c r="Y35" s="898"/>
      <c r="Z35" s="900"/>
      <c r="AA35" s="865"/>
      <c r="AB35" s="842"/>
      <c r="AC35" s="842"/>
      <c r="AD35" s="842"/>
      <c r="AE35" s="842"/>
      <c r="AF35" s="842"/>
      <c r="AG35" s="842"/>
      <c r="AH35" s="842"/>
      <c r="AI35" s="894"/>
      <c r="AJ35" s="902"/>
      <c r="AK35" s="872"/>
      <c r="AL35" s="868"/>
    </row>
    <row r="36" spans="1:38" ht="16.5" customHeight="1">
      <c r="A36" s="861">
        <v>17</v>
      </c>
      <c r="B36" s="890" t="s">
        <v>223</v>
      </c>
      <c r="C36" s="861"/>
      <c r="D36" s="857" t="s">
        <v>531</v>
      </c>
      <c r="E36" s="857" t="s">
        <v>531</v>
      </c>
      <c r="F36" s="857"/>
      <c r="G36" s="891"/>
      <c r="H36" s="892">
        <v>4</v>
      </c>
      <c r="I36" s="867"/>
      <c r="J36" s="867"/>
      <c r="K36" s="867"/>
      <c r="L36" s="867"/>
      <c r="M36" s="867"/>
      <c r="N36" s="867"/>
      <c r="O36" s="867"/>
      <c r="P36" s="889"/>
      <c r="Q36" s="871">
        <f>IF(ISBLANK(A36),"",IF(ISBLANK(G36),SUM(H36:P37),0))</f>
        <v>4</v>
      </c>
      <c r="R36" s="872">
        <f>IF(Q36="","",Q36+R34)</f>
        <v>45</v>
      </c>
      <c r="S36" s="868">
        <f>IF(G36="X",0,COUNT(H36:P37))</f>
        <v>1</v>
      </c>
      <c r="T36" s="861">
        <v>17</v>
      </c>
      <c r="U36" s="862" t="s">
        <v>76</v>
      </c>
      <c r="V36" s="864"/>
      <c r="W36" s="841"/>
      <c r="X36" s="841"/>
      <c r="Y36" s="841"/>
      <c r="Z36" s="843"/>
      <c r="AA36" s="845">
        <v>0</v>
      </c>
      <c r="AB36" s="847"/>
      <c r="AC36" s="847"/>
      <c r="AD36" s="847"/>
      <c r="AE36" s="847"/>
      <c r="AF36" s="847"/>
      <c r="AG36" s="847"/>
      <c r="AH36" s="847"/>
      <c r="AI36" s="885"/>
      <c r="AJ36" s="887">
        <f>IF(ISBLANK(T36),"",IF(ISBLANK(Z36),SUM(AA36:AI37),0))</f>
        <v>0</v>
      </c>
      <c r="AK36" s="872">
        <f>IF(AJ36="","",AJ36+AK34)</f>
        <v>23</v>
      </c>
      <c r="AL36" s="868">
        <f>IF(Z36="X",0,COUNT(AA36:AI37))</f>
        <v>1</v>
      </c>
    </row>
    <row r="37" spans="1:38" ht="16.5" customHeight="1">
      <c r="A37" s="861"/>
      <c r="B37" s="890"/>
      <c r="C37" s="861"/>
      <c r="D37" s="857"/>
      <c r="E37" s="857"/>
      <c r="F37" s="857"/>
      <c r="G37" s="891"/>
      <c r="H37" s="892"/>
      <c r="I37" s="867"/>
      <c r="J37" s="867"/>
      <c r="K37" s="867"/>
      <c r="L37" s="867"/>
      <c r="M37" s="867"/>
      <c r="N37" s="867"/>
      <c r="O37" s="867"/>
      <c r="P37" s="889"/>
      <c r="Q37" s="871"/>
      <c r="R37" s="872"/>
      <c r="S37" s="868"/>
      <c r="T37" s="861"/>
      <c r="U37" s="863"/>
      <c r="V37" s="865"/>
      <c r="W37" s="842"/>
      <c r="X37" s="842"/>
      <c r="Y37" s="842"/>
      <c r="Z37" s="844"/>
      <c r="AA37" s="846"/>
      <c r="AB37" s="848"/>
      <c r="AC37" s="848"/>
      <c r="AD37" s="848"/>
      <c r="AE37" s="848"/>
      <c r="AF37" s="848"/>
      <c r="AG37" s="848"/>
      <c r="AH37" s="848"/>
      <c r="AI37" s="886"/>
      <c r="AJ37" s="888"/>
      <c r="AK37" s="872"/>
      <c r="AL37" s="868"/>
    </row>
    <row r="38" spans="1:38" ht="16.5" customHeight="1">
      <c r="A38" s="855">
        <v>18</v>
      </c>
      <c r="B38" s="856" t="s">
        <v>59</v>
      </c>
      <c r="C38" s="855"/>
      <c r="D38" s="858"/>
      <c r="E38" s="858"/>
      <c r="F38" s="858"/>
      <c r="G38" s="860"/>
      <c r="H38" s="861">
        <v>0</v>
      </c>
      <c r="I38" s="857"/>
      <c r="J38" s="857"/>
      <c r="K38" s="857"/>
      <c r="L38" s="857"/>
      <c r="M38" s="857"/>
      <c r="N38" s="857"/>
      <c r="O38" s="857"/>
      <c r="P38" s="883"/>
      <c r="Q38" s="873">
        <f>IF(ISBLANK(A38),"",IF(ISBLANK(G38),SUM(H38:P39),0))</f>
        <v>0</v>
      </c>
      <c r="R38" s="872">
        <f>IF(Q38="","",Q38+R36)</f>
        <v>45</v>
      </c>
      <c r="S38" s="868">
        <f>IF(G38="X",0,COUNT(H38:P39))</f>
        <v>1</v>
      </c>
      <c r="T38" s="869">
        <v>18</v>
      </c>
      <c r="U38" s="895" t="s">
        <v>241</v>
      </c>
      <c r="V38" s="869"/>
      <c r="W38" s="897" t="s">
        <v>531</v>
      </c>
      <c r="X38" s="897" t="s">
        <v>531</v>
      </c>
      <c r="Y38" s="897"/>
      <c r="Z38" s="899"/>
      <c r="AA38" s="864">
        <v>3</v>
      </c>
      <c r="AB38" s="841"/>
      <c r="AC38" s="841"/>
      <c r="AD38" s="841"/>
      <c r="AE38" s="841"/>
      <c r="AF38" s="841"/>
      <c r="AG38" s="841"/>
      <c r="AH38" s="841"/>
      <c r="AI38" s="893"/>
      <c r="AJ38" s="901">
        <f>IF(ISBLANK(T38),"",IF(ISBLANK(Z38),SUM(AA38:AI39),0))</f>
        <v>3</v>
      </c>
      <c r="AK38" s="872">
        <f>IF(AJ38="","",AJ38+AK36)</f>
        <v>26</v>
      </c>
      <c r="AL38" s="868">
        <f>IF(Z38="X",0,COUNT(AA38:AI39))</f>
        <v>1</v>
      </c>
    </row>
    <row r="39" spans="1:38" ht="16.5" customHeight="1">
      <c r="A39" s="855"/>
      <c r="B39" s="856"/>
      <c r="C39" s="855"/>
      <c r="D39" s="858"/>
      <c r="E39" s="858"/>
      <c r="F39" s="858"/>
      <c r="G39" s="860"/>
      <c r="H39" s="861"/>
      <c r="I39" s="857"/>
      <c r="J39" s="857"/>
      <c r="K39" s="857"/>
      <c r="L39" s="857"/>
      <c r="M39" s="857"/>
      <c r="N39" s="857"/>
      <c r="O39" s="857"/>
      <c r="P39" s="883"/>
      <c r="Q39" s="873"/>
      <c r="R39" s="872"/>
      <c r="S39" s="868"/>
      <c r="T39" s="870"/>
      <c r="U39" s="896"/>
      <c r="V39" s="870"/>
      <c r="W39" s="898"/>
      <c r="X39" s="898"/>
      <c r="Y39" s="898"/>
      <c r="Z39" s="900"/>
      <c r="AA39" s="865"/>
      <c r="AB39" s="842"/>
      <c r="AC39" s="842"/>
      <c r="AD39" s="842"/>
      <c r="AE39" s="842"/>
      <c r="AF39" s="842"/>
      <c r="AG39" s="842"/>
      <c r="AH39" s="842"/>
      <c r="AI39" s="894"/>
      <c r="AJ39" s="902"/>
      <c r="AK39" s="872"/>
      <c r="AL39" s="868"/>
    </row>
    <row r="40" spans="1:38" ht="16.5" customHeight="1">
      <c r="A40" s="861">
        <v>19</v>
      </c>
      <c r="B40" s="890" t="s">
        <v>221</v>
      </c>
      <c r="C40" s="861"/>
      <c r="D40" s="857" t="s">
        <v>531</v>
      </c>
      <c r="E40" s="857" t="s">
        <v>531</v>
      </c>
      <c r="F40" s="857"/>
      <c r="G40" s="891"/>
      <c r="H40" s="892">
        <v>2</v>
      </c>
      <c r="I40" s="867"/>
      <c r="J40" s="867"/>
      <c r="K40" s="867"/>
      <c r="L40" s="867"/>
      <c r="M40" s="867"/>
      <c r="N40" s="867"/>
      <c r="O40" s="867"/>
      <c r="P40" s="889"/>
      <c r="Q40" s="871">
        <f>IF(ISBLANK(A40),"",IF(ISBLANK(G40),SUM(H40:P41),0))</f>
        <v>2</v>
      </c>
      <c r="R40" s="872">
        <f>IF(Q40="","",Q40+R38)</f>
        <v>47</v>
      </c>
      <c r="S40" s="868">
        <f>IF(G40="X",0,COUNT(H40:P41))</f>
        <v>1</v>
      </c>
      <c r="T40" s="861">
        <v>19</v>
      </c>
      <c r="U40" s="862" t="s">
        <v>239</v>
      </c>
      <c r="V40" s="864"/>
      <c r="W40" s="841"/>
      <c r="X40" s="841"/>
      <c r="Y40" s="841"/>
      <c r="Z40" s="843"/>
      <c r="AA40" s="845">
        <v>0</v>
      </c>
      <c r="AB40" s="847"/>
      <c r="AC40" s="847"/>
      <c r="AD40" s="847"/>
      <c r="AE40" s="847"/>
      <c r="AF40" s="847"/>
      <c r="AG40" s="847"/>
      <c r="AH40" s="847"/>
      <c r="AI40" s="885"/>
      <c r="AJ40" s="887">
        <f>IF(ISBLANK(T40),"",IF(ISBLANK(Z40),SUM(AA40:AI41),0))</f>
        <v>0</v>
      </c>
      <c r="AK40" s="872">
        <f>IF(AJ40="","",AJ40+AK38)</f>
        <v>26</v>
      </c>
      <c r="AL40" s="868">
        <f>IF(Z40="X",0,COUNT(AA40:AI41))</f>
        <v>1</v>
      </c>
    </row>
    <row r="41" spans="1:38" ht="16.5" customHeight="1">
      <c r="A41" s="861"/>
      <c r="B41" s="890"/>
      <c r="C41" s="861"/>
      <c r="D41" s="857"/>
      <c r="E41" s="857"/>
      <c r="F41" s="857"/>
      <c r="G41" s="891"/>
      <c r="H41" s="892"/>
      <c r="I41" s="867"/>
      <c r="J41" s="867"/>
      <c r="K41" s="867"/>
      <c r="L41" s="867"/>
      <c r="M41" s="867"/>
      <c r="N41" s="867"/>
      <c r="O41" s="867"/>
      <c r="P41" s="889"/>
      <c r="Q41" s="871"/>
      <c r="R41" s="872"/>
      <c r="S41" s="868"/>
      <c r="T41" s="861"/>
      <c r="U41" s="863"/>
      <c r="V41" s="865"/>
      <c r="W41" s="842"/>
      <c r="X41" s="842"/>
      <c r="Y41" s="842"/>
      <c r="Z41" s="844"/>
      <c r="AA41" s="846"/>
      <c r="AB41" s="848"/>
      <c r="AC41" s="848"/>
      <c r="AD41" s="848"/>
      <c r="AE41" s="848"/>
      <c r="AF41" s="848"/>
      <c r="AG41" s="848"/>
      <c r="AH41" s="848"/>
      <c r="AI41" s="886"/>
      <c r="AJ41" s="888"/>
      <c r="AK41" s="872"/>
      <c r="AL41" s="868"/>
    </row>
    <row r="42" spans="1:38" ht="16.5" customHeight="1">
      <c r="A42" s="855">
        <v>20</v>
      </c>
      <c r="B42" s="856" t="s">
        <v>53</v>
      </c>
      <c r="C42" s="855"/>
      <c r="D42" s="858" t="s">
        <v>531</v>
      </c>
      <c r="E42" s="858" t="s">
        <v>531</v>
      </c>
      <c r="F42" s="858"/>
      <c r="G42" s="860"/>
      <c r="H42" s="861">
        <v>0</v>
      </c>
      <c r="I42" s="857"/>
      <c r="J42" s="857"/>
      <c r="K42" s="857"/>
      <c r="L42" s="857"/>
      <c r="M42" s="857"/>
      <c r="N42" s="857"/>
      <c r="O42" s="857"/>
      <c r="P42" s="883"/>
      <c r="Q42" s="873">
        <f>IF(ISBLANK(A42),"",IF(ISBLANK(G42),SUM(H42:P43),0))</f>
        <v>0</v>
      </c>
      <c r="R42" s="872">
        <f>IF(Q42="","",Q42+R40)</f>
        <v>47</v>
      </c>
      <c r="S42" s="868">
        <f>IF(G42="X",0,COUNT(H42:P43))</f>
        <v>1</v>
      </c>
      <c r="T42" s="869">
        <v>20</v>
      </c>
      <c r="U42" s="895" t="s">
        <v>76</v>
      </c>
      <c r="V42" s="869" t="s">
        <v>531</v>
      </c>
      <c r="W42" s="897"/>
      <c r="X42" s="897"/>
      <c r="Y42" s="897"/>
      <c r="Z42" s="899"/>
      <c r="AA42" s="864">
        <v>0</v>
      </c>
      <c r="AB42" s="841"/>
      <c r="AC42" s="841"/>
      <c r="AD42" s="841"/>
      <c r="AE42" s="841"/>
      <c r="AF42" s="841"/>
      <c r="AG42" s="841"/>
      <c r="AH42" s="841"/>
      <c r="AI42" s="893"/>
      <c r="AJ42" s="901">
        <f>IF(ISBLANK(T42),"",IF(ISBLANK(Z42),SUM(AA42:AI43),0))</f>
        <v>0</v>
      </c>
      <c r="AK42" s="872">
        <f>IF(AJ42="","",AJ42+AK40)</f>
        <v>26</v>
      </c>
      <c r="AL42" s="868">
        <f>IF(Z42="X",0,COUNT(AA42:AI43))</f>
        <v>1</v>
      </c>
    </row>
    <row r="43" spans="1:38" ht="16.5" customHeight="1">
      <c r="A43" s="855"/>
      <c r="B43" s="856"/>
      <c r="C43" s="855"/>
      <c r="D43" s="858"/>
      <c r="E43" s="858"/>
      <c r="F43" s="858"/>
      <c r="G43" s="860"/>
      <c r="H43" s="861"/>
      <c r="I43" s="857"/>
      <c r="J43" s="857"/>
      <c r="K43" s="857"/>
      <c r="L43" s="857"/>
      <c r="M43" s="857"/>
      <c r="N43" s="857"/>
      <c r="O43" s="857"/>
      <c r="P43" s="883"/>
      <c r="Q43" s="873"/>
      <c r="R43" s="872"/>
      <c r="S43" s="868"/>
      <c r="T43" s="870"/>
      <c r="U43" s="896"/>
      <c r="V43" s="870"/>
      <c r="W43" s="898"/>
      <c r="X43" s="898"/>
      <c r="Y43" s="898"/>
      <c r="Z43" s="900"/>
      <c r="AA43" s="865"/>
      <c r="AB43" s="842"/>
      <c r="AC43" s="842"/>
      <c r="AD43" s="842"/>
      <c r="AE43" s="842"/>
      <c r="AF43" s="842"/>
      <c r="AG43" s="842"/>
      <c r="AH43" s="842"/>
      <c r="AI43" s="894"/>
      <c r="AJ43" s="902"/>
      <c r="AK43" s="872"/>
      <c r="AL43" s="868"/>
    </row>
    <row r="44" spans="1:38" ht="16.5" customHeight="1">
      <c r="A44" s="861">
        <v>21</v>
      </c>
      <c r="B44" s="890" t="s">
        <v>57</v>
      </c>
      <c r="C44" s="861"/>
      <c r="D44" s="857" t="s">
        <v>531</v>
      </c>
      <c r="E44" s="857" t="s">
        <v>531</v>
      </c>
      <c r="F44" s="857"/>
      <c r="G44" s="891"/>
      <c r="H44" s="892">
        <v>5</v>
      </c>
      <c r="I44" s="867">
        <v>5</v>
      </c>
      <c r="J44" s="867"/>
      <c r="K44" s="867"/>
      <c r="L44" s="867"/>
      <c r="M44" s="867"/>
      <c r="N44" s="867"/>
      <c r="O44" s="867"/>
      <c r="P44" s="889"/>
      <c r="Q44" s="871">
        <f>IF(ISBLANK(A44),"",IF(ISBLANK(G44),SUM(H44:P45),0))</f>
        <v>10</v>
      </c>
      <c r="R44" s="872">
        <f>IF(Q44="","",Q44+R42)</f>
        <v>57</v>
      </c>
      <c r="S44" s="868">
        <f>IF(G44="X",0,COUNT(H44:P45))</f>
        <v>2</v>
      </c>
      <c r="T44" s="861">
        <v>21</v>
      </c>
      <c r="U44" s="862" t="s">
        <v>362</v>
      </c>
      <c r="V44" s="864" t="s">
        <v>531</v>
      </c>
      <c r="W44" s="841"/>
      <c r="X44" s="841"/>
      <c r="Y44" s="841"/>
      <c r="Z44" s="843"/>
      <c r="AA44" s="845">
        <v>1</v>
      </c>
      <c r="AB44" s="847"/>
      <c r="AC44" s="847"/>
      <c r="AD44" s="847"/>
      <c r="AE44" s="847"/>
      <c r="AF44" s="847"/>
      <c r="AG44" s="847"/>
      <c r="AH44" s="847"/>
      <c r="AI44" s="885"/>
      <c r="AJ44" s="887">
        <f>IF(ISBLANK(T44),"",IF(ISBLANK(Z44),SUM(AA44:AI45),0))</f>
        <v>1</v>
      </c>
      <c r="AK44" s="872">
        <f>IF(AJ44="","",AJ44+AK42)</f>
        <v>27</v>
      </c>
      <c r="AL44" s="868">
        <f>IF(Z44="X",0,COUNT(AA44:AI45))</f>
        <v>1</v>
      </c>
    </row>
    <row r="45" spans="1:38" ht="16.5" customHeight="1">
      <c r="A45" s="861"/>
      <c r="B45" s="890"/>
      <c r="C45" s="861"/>
      <c r="D45" s="857"/>
      <c r="E45" s="857"/>
      <c r="F45" s="857"/>
      <c r="G45" s="891"/>
      <c r="H45" s="892"/>
      <c r="I45" s="867"/>
      <c r="J45" s="867"/>
      <c r="K45" s="867"/>
      <c r="L45" s="867"/>
      <c r="M45" s="867"/>
      <c r="N45" s="867"/>
      <c r="O45" s="867"/>
      <c r="P45" s="889"/>
      <c r="Q45" s="871"/>
      <c r="R45" s="872"/>
      <c r="S45" s="868"/>
      <c r="T45" s="861"/>
      <c r="U45" s="863"/>
      <c r="V45" s="865"/>
      <c r="W45" s="842"/>
      <c r="X45" s="842"/>
      <c r="Y45" s="842"/>
      <c r="Z45" s="844"/>
      <c r="AA45" s="846"/>
      <c r="AB45" s="848"/>
      <c r="AC45" s="848"/>
      <c r="AD45" s="848"/>
      <c r="AE45" s="848"/>
      <c r="AF45" s="848"/>
      <c r="AG45" s="848"/>
      <c r="AH45" s="848"/>
      <c r="AI45" s="886"/>
      <c r="AJ45" s="888"/>
      <c r="AK45" s="872"/>
      <c r="AL45" s="868"/>
    </row>
    <row r="46" spans="1:38" ht="16.5" customHeight="1">
      <c r="A46" s="855">
        <v>22</v>
      </c>
      <c r="B46" s="856" t="s">
        <v>59</v>
      </c>
      <c r="C46" s="855"/>
      <c r="D46" s="858" t="s">
        <v>531</v>
      </c>
      <c r="E46" s="858" t="s">
        <v>531</v>
      </c>
      <c r="F46" s="858"/>
      <c r="G46" s="860"/>
      <c r="H46" s="861">
        <v>4</v>
      </c>
      <c r="I46" s="857"/>
      <c r="J46" s="857"/>
      <c r="K46" s="857"/>
      <c r="L46" s="857"/>
      <c r="M46" s="857"/>
      <c r="N46" s="857"/>
      <c r="O46" s="857"/>
      <c r="P46" s="883"/>
      <c r="Q46" s="873">
        <f>IF(ISBLANK(A46),"",IF(ISBLANK(G46),SUM(H46:P47),0))</f>
        <v>4</v>
      </c>
      <c r="R46" s="872">
        <f>IF(Q46="","",Q46+R44)</f>
        <v>61</v>
      </c>
      <c r="S46" s="868">
        <f>IF(G46="X",0,COUNT(H46:P47))</f>
        <v>1</v>
      </c>
      <c r="T46" s="869">
        <v>22</v>
      </c>
      <c r="U46" s="895" t="s">
        <v>241</v>
      </c>
      <c r="V46" s="869"/>
      <c r="W46" s="897"/>
      <c r="X46" s="897"/>
      <c r="Y46" s="897"/>
      <c r="Z46" s="899"/>
      <c r="AA46" s="864">
        <v>0</v>
      </c>
      <c r="AB46" s="841"/>
      <c r="AC46" s="841"/>
      <c r="AD46" s="841"/>
      <c r="AE46" s="841"/>
      <c r="AF46" s="841"/>
      <c r="AG46" s="841"/>
      <c r="AH46" s="841"/>
      <c r="AI46" s="893"/>
      <c r="AJ46" s="901">
        <f>IF(ISBLANK(T46),"",IF(ISBLANK(Z46),SUM(AA46:AI47),0))</f>
        <v>0</v>
      </c>
      <c r="AK46" s="872">
        <f>IF(AJ46="","",AJ46+AK44)</f>
        <v>27</v>
      </c>
      <c r="AL46" s="868">
        <f>IF(Z46="X",0,COUNT(AA46:AI47))</f>
        <v>1</v>
      </c>
    </row>
    <row r="47" spans="1:38" ht="16.5" customHeight="1">
      <c r="A47" s="855"/>
      <c r="B47" s="856"/>
      <c r="C47" s="855"/>
      <c r="D47" s="858"/>
      <c r="E47" s="858"/>
      <c r="F47" s="858"/>
      <c r="G47" s="860"/>
      <c r="H47" s="861"/>
      <c r="I47" s="857"/>
      <c r="J47" s="857"/>
      <c r="K47" s="857"/>
      <c r="L47" s="857"/>
      <c r="M47" s="857"/>
      <c r="N47" s="857"/>
      <c r="O47" s="857"/>
      <c r="P47" s="883"/>
      <c r="Q47" s="873"/>
      <c r="R47" s="872"/>
      <c r="S47" s="868"/>
      <c r="T47" s="870"/>
      <c r="U47" s="896"/>
      <c r="V47" s="870"/>
      <c r="W47" s="898"/>
      <c r="X47" s="898"/>
      <c r="Y47" s="898"/>
      <c r="Z47" s="900"/>
      <c r="AA47" s="865"/>
      <c r="AB47" s="842"/>
      <c r="AC47" s="842"/>
      <c r="AD47" s="842"/>
      <c r="AE47" s="842"/>
      <c r="AF47" s="842"/>
      <c r="AG47" s="842"/>
      <c r="AH47" s="842"/>
      <c r="AI47" s="894"/>
      <c r="AJ47" s="902"/>
      <c r="AK47" s="872"/>
      <c r="AL47" s="868"/>
    </row>
    <row r="48" spans="1:38" ht="16.5" customHeight="1">
      <c r="A48" s="861">
        <v>23</v>
      </c>
      <c r="B48" s="890" t="s">
        <v>223</v>
      </c>
      <c r="C48" s="861"/>
      <c r="D48" s="857" t="s">
        <v>531</v>
      </c>
      <c r="E48" s="857" t="s">
        <v>531</v>
      </c>
      <c r="F48" s="857"/>
      <c r="G48" s="891"/>
      <c r="H48" s="892">
        <v>4</v>
      </c>
      <c r="I48" s="867"/>
      <c r="J48" s="867"/>
      <c r="K48" s="867"/>
      <c r="L48" s="867"/>
      <c r="M48" s="867"/>
      <c r="N48" s="867"/>
      <c r="O48" s="867"/>
      <c r="P48" s="889"/>
      <c r="Q48" s="871">
        <f>IF(ISBLANK(A48),"",IF(ISBLANK(G48),SUM(H48:P49),0))</f>
        <v>4</v>
      </c>
      <c r="R48" s="872">
        <f>IF(Q48="","",Q48+R46)</f>
        <v>65</v>
      </c>
      <c r="S48" s="868">
        <f>IF(G48="X",0,COUNT(H48:P49))</f>
        <v>1</v>
      </c>
      <c r="T48" s="861">
        <v>23</v>
      </c>
      <c r="U48" s="862" t="s">
        <v>76</v>
      </c>
      <c r="V48" s="864"/>
      <c r="W48" s="841"/>
      <c r="X48" s="841"/>
      <c r="Y48" s="841"/>
      <c r="Z48" s="843"/>
      <c r="AA48" s="845">
        <v>0</v>
      </c>
      <c r="AB48" s="847"/>
      <c r="AC48" s="847"/>
      <c r="AD48" s="847"/>
      <c r="AE48" s="847"/>
      <c r="AF48" s="847"/>
      <c r="AG48" s="847"/>
      <c r="AH48" s="847"/>
      <c r="AI48" s="885"/>
      <c r="AJ48" s="887">
        <f>IF(ISBLANK(T48),"",IF(ISBLANK(Z48),SUM(AA48:AI49),0))</f>
        <v>0</v>
      </c>
      <c r="AK48" s="872">
        <f>IF(AJ48="","",AJ48+AK46)</f>
        <v>27</v>
      </c>
      <c r="AL48" s="868">
        <f>IF(Z48="X",0,COUNT(AA48:AI49))</f>
        <v>1</v>
      </c>
    </row>
    <row r="49" spans="1:38" ht="16.5" customHeight="1">
      <c r="A49" s="861"/>
      <c r="B49" s="890"/>
      <c r="C49" s="861"/>
      <c r="D49" s="857"/>
      <c r="E49" s="857"/>
      <c r="F49" s="857"/>
      <c r="G49" s="891"/>
      <c r="H49" s="892"/>
      <c r="I49" s="867"/>
      <c r="J49" s="867"/>
      <c r="K49" s="867"/>
      <c r="L49" s="867"/>
      <c r="M49" s="867"/>
      <c r="N49" s="867"/>
      <c r="O49" s="867"/>
      <c r="P49" s="889"/>
      <c r="Q49" s="871"/>
      <c r="R49" s="872"/>
      <c r="S49" s="868"/>
      <c r="T49" s="861"/>
      <c r="U49" s="863"/>
      <c r="V49" s="865"/>
      <c r="W49" s="842"/>
      <c r="X49" s="842"/>
      <c r="Y49" s="842"/>
      <c r="Z49" s="844"/>
      <c r="AA49" s="846"/>
      <c r="AB49" s="848"/>
      <c r="AC49" s="848"/>
      <c r="AD49" s="848"/>
      <c r="AE49" s="848"/>
      <c r="AF49" s="848"/>
      <c r="AG49" s="848"/>
      <c r="AH49" s="848"/>
      <c r="AI49" s="886"/>
      <c r="AJ49" s="888"/>
      <c r="AK49" s="872"/>
      <c r="AL49" s="868"/>
    </row>
    <row r="50" spans="1:38" ht="16.5" customHeight="1">
      <c r="A50" s="855">
        <v>24</v>
      </c>
      <c r="B50" s="856" t="s">
        <v>53</v>
      </c>
      <c r="C50" s="855" t="s">
        <v>531</v>
      </c>
      <c r="D50" s="858" t="s">
        <v>531</v>
      </c>
      <c r="E50" s="858"/>
      <c r="F50" s="858"/>
      <c r="G50" s="860"/>
      <c r="H50" s="861">
        <v>5</v>
      </c>
      <c r="I50" s="857">
        <v>5</v>
      </c>
      <c r="J50" s="857"/>
      <c r="K50" s="857"/>
      <c r="L50" s="857"/>
      <c r="M50" s="857"/>
      <c r="N50" s="857"/>
      <c r="O50" s="857"/>
      <c r="P50" s="883"/>
      <c r="Q50" s="873">
        <f>IF(ISBLANK(A50),"",IF(ISBLANK(G50),SUM(H50:P51),0))</f>
        <v>10</v>
      </c>
      <c r="R50" s="872">
        <f>IF(Q50="","",Q50+R48)</f>
        <v>75</v>
      </c>
      <c r="S50" s="868">
        <f>IF(G50="X",0,COUNT(H50:P51))</f>
        <v>2</v>
      </c>
      <c r="T50" s="869">
        <v>24</v>
      </c>
      <c r="U50" s="895" t="s">
        <v>237</v>
      </c>
      <c r="V50" s="869" t="s">
        <v>531</v>
      </c>
      <c r="W50" s="897"/>
      <c r="X50" s="897"/>
      <c r="Y50" s="897"/>
      <c r="Z50" s="899"/>
      <c r="AA50" s="864">
        <v>4</v>
      </c>
      <c r="AB50" s="841"/>
      <c r="AC50" s="841"/>
      <c r="AD50" s="841"/>
      <c r="AE50" s="841"/>
      <c r="AF50" s="841"/>
      <c r="AG50" s="841"/>
      <c r="AH50" s="841"/>
      <c r="AI50" s="893"/>
      <c r="AJ50" s="901">
        <f>IF(ISBLANK(T50),"",IF(ISBLANK(Z50),SUM(AA50:AI51),0))</f>
        <v>4</v>
      </c>
      <c r="AK50" s="872">
        <f>IF(AJ50="","",AJ50+AK48)</f>
        <v>31</v>
      </c>
      <c r="AL50" s="868">
        <f>IF(Z50="X",0,COUNT(AA50:AI51))</f>
        <v>1</v>
      </c>
    </row>
    <row r="51" spans="1:38" ht="16.5" customHeight="1">
      <c r="A51" s="855"/>
      <c r="B51" s="856"/>
      <c r="C51" s="855"/>
      <c r="D51" s="858"/>
      <c r="E51" s="858"/>
      <c r="F51" s="858"/>
      <c r="G51" s="860"/>
      <c r="H51" s="861"/>
      <c r="I51" s="857"/>
      <c r="J51" s="857"/>
      <c r="K51" s="857"/>
      <c r="L51" s="857"/>
      <c r="M51" s="857"/>
      <c r="N51" s="857"/>
      <c r="O51" s="857"/>
      <c r="P51" s="883"/>
      <c r="Q51" s="873"/>
      <c r="R51" s="872"/>
      <c r="S51" s="868"/>
      <c r="T51" s="870"/>
      <c r="U51" s="896"/>
      <c r="V51" s="870"/>
      <c r="W51" s="898"/>
      <c r="X51" s="898"/>
      <c r="Y51" s="898"/>
      <c r="Z51" s="900"/>
      <c r="AA51" s="865"/>
      <c r="AB51" s="842"/>
      <c r="AC51" s="842"/>
      <c r="AD51" s="842"/>
      <c r="AE51" s="842"/>
      <c r="AF51" s="842"/>
      <c r="AG51" s="842"/>
      <c r="AH51" s="842"/>
      <c r="AI51" s="894"/>
      <c r="AJ51" s="902"/>
      <c r="AK51" s="872"/>
      <c r="AL51" s="868"/>
    </row>
    <row r="52" spans="1:38" ht="16.5" customHeight="1">
      <c r="A52" s="861"/>
      <c r="B52" s="890"/>
      <c r="C52" s="861"/>
      <c r="D52" s="857"/>
      <c r="E52" s="857"/>
      <c r="F52" s="857"/>
      <c r="G52" s="891"/>
      <c r="H52" s="892"/>
      <c r="I52" s="867"/>
      <c r="J52" s="867"/>
      <c r="K52" s="867"/>
      <c r="L52" s="867"/>
      <c r="M52" s="867"/>
      <c r="N52" s="867"/>
      <c r="O52" s="867"/>
      <c r="P52" s="889"/>
      <c r="Q52" s="871" t="str">
        <f>IF(ISBLANK(A52),"",IF(ISBLANK(G52),SUM(H52:P53),0))</f>
        <v/>
      </c>
      <c r="R52" s="872" t="str">
        <f>IF(Q52="","",Q52+R50)</f>
        <v/>
      </c>
      <c r="S52" s="868">
        <f>IF(G52="X",0,COUNT(H52:P53))</f>
        <v>0</v>
      </c>
      <c r="T52" s="861"/>
      <c r="U52" s="862"/>
      <c r="V52" s="864"/>
      <c r="W52" s="841"/>
      <c r="X52" s="841"/>
      <c r="Y52" s="841"/>
      <c r="Z52" s="843"/>
      <c r="AA52" s="845"/>
      <c r="AB52" s="847"/>
      <c r="AC52" s="847"/>
      <c r="AD52" s="847"/>
      <c r="AE52" s="847"/>
      <c r="AF52" s="847"/>
      <c r="AG52" s="847"/>
      <c r="AH52" s="847"/>
      <c r="AI52" s="885"/>
      <c r="AJ52" s="887" t="str">
        <f>IF(ISBLANK(T52),"",IF(ISBLANK(Z52),SUM(AA52:AI53),0))</f>
        <v/>
      </c>
      <c r="AK52" s="872" t="str">
        <f>IF(AJ52="","",AJ52+AK50)</f>
        <v/>
      </c>
      <c r="AL52" s="868">
        <f>IF(Z52="X",0,COUNT(AA52:AI53))</f>
        <v>0</v>
      </c>
    </row>
    <row r="53" spans="1:38" ht="16.5" customHeight="1">
      <c r="A53" s="861"/>
      <c r="B53" s="890"/>
      <c r="C53" s="861"/>
      <c r="D53" s="857"/>
      <c r="E53" s="857"/>
      <c r="F53" s="857"/>
      <c r="G53" s="891"/>
      <c r="H53" s="892"/>
      <c r="I53" s="867"/>
      <c r="J53" s="867"/>
      <c r="K53" s="867"/>
      <c r="L53" s="867"/>
      <c r="M53" s="867"/>
      <c r="N53" s="867"/>
      <c r="O53" s="867"/>
      <c r="P53" s="889"/>
      <c r="Q53" s="871"/>
      <c r="R53" s="872"/>
      <c r="S53" s="868"/>
      <c r="T53" s="861"/>
      <c r="U53" s="863"/>
      <c r="V53" s="865"/>
      <c r="W53" s="842"/>
      <c r="X53" s="842"/>
      <c r="Y53" s="842"/>
      <c r="Z53" s="844"/>
      <c r="AA53" s="846"/>
      <c r="AB53" s="848"/>
      <c r="AC53" s="848"/>
      <c r="AD53" s="848"/>
      <c r="AE53" s="848"/>
      <c r="AF53" s="848"/>
      <c r="AG53" s="848"/>
      <c r="AH53" s="848"/>
      <c r="AI53" s="886"/>
      <c r="AJ53" s="888"/>
      <c r="AK53" s="872"/>
      <c r="AL53" s="868"/>
    </row>
    <row r="54" spans="1:38" ht="16.5" customHeight="1">
      <c r="A54" s="855"/>
      <c r="B54" s="856"/>
      <c r="C54" s="855"/>
      <c r="D54" s="858"/>
      <c r="E54" s="858"/>
      <c r="F54" s="858"/>
      <c r="G54" s="860"/>
      <c r="H54" s="861"/>
      <c r="I54" s="857"/>
      <c r="J54" s="857"/>
      <c r="K54" s="857"/>
      <c r="L54" s="857"/>
      <c r="M54" s="857"/>
      <c r="N54" s="857"/>
      <c r="O54" s="857"/>
      <c r="P54" s="883"/>
      <c r="Q54" s="873" t="str">
        <f>IF(ISBLANK(A54),"",IF(ISBLANK(G54),SUM(H54:P55),0))</f>
        <v/>
      </c>
      <c r="R54" s="872" t="str">
        <f>IF(Q54="","",Q54+R52)</f>
        <v/>
      </c>
      <c r="S54" s="868">
        <f>IF(G54="X",0,COUNT(H54:P55))</f>
        <v>0</v>
      </c>
      <c r="T54" s="869"/>
      <c r="U54" s="895"/>
      <c r="V54" s="869"/>
      <c r="W54" s="897"/>
      <c r="X54" s="897"/>
      <c r="Y54" s="897"/>
      <c r="Z54" s="899"/>
      <c r="AA54" s="864"/>
      <c r="AB54" s="841"/>
      <c r="AC54" s="841"/>
      <c r="AD54" s="841"/>
      <c r="AE54" s="841"/>
      <c r="AF54" s="841"/>
      <c r="AG54" s="841"/>
      <c r="AH54" s="841"/>
      <c r="AI54" s="893"/>
      <c r="AJ54" s="901" t="str">
        <f>IF(ISBLANK(T54),"",IF(ISBLANK(Z54),SUM(AA54:AI55),0))</f>
        <v/>
      </c>
      <c r="AK54" s="872" t="str">
        <f>IF(AJ54="","",AJ54+AK52)</f>
        <v/>
      </c>
      <c r="AL54" s="868">
        <f>IF(Z54="X",0,COUNT(AA54:AI55))</f>
        <v>0</v>
      </c>
    </row>
    <row r="55" spans="1:38" ht="16.5" customHeight="1">
      <c r="A55" s="855"/>
      <c r="B55" s="856"/>
      <c r="C55" s="855"/>
      <c r="D55" s="858"/>
      <c r="E55" s="858"/>
      <c r="F55" s="858"/>
      <c r="G55" s="860"/>
      <c r="H55" s="861"/>
      <c r="I55" s="857"/>
      <c r="J55" s="857"/>
      <c r="K55" s="857"/>
      <c r="L55" s="857"/>
      <c r="M55" s="857"/>
      <c r="N55" s="857"/>
      <c r="O55" s="857"/>
      <c r="P55" s="883"/>
      <c r="Q55" s="873"/>
      <c r="R55" s="872"/>
      <c r="S55" s="868"/>
      <c r="T55" s="870"/>
      <c r="U55" s="896"/>
      <c r="V55" s="870"/>
      <c r="W55" s="898"/>
      <c r="X55" s="898"/>
      <c r="Y55" s="898"/>
      <c r="Z55" s="900"/>
      <c r="AA55" s="865"/>
      <c r="AB55" s="842"/>
      <c r="AC55" s="842"/>
      <c r="AD55" s="842"/>
      <c r="AE55" s="842"/>
      <c r="AF55" s="842"/>
      <c r="AG55" s="842"/>
      <c r="AH55" s="842"/>
      <c r="AI55" s="894"/>
      <c r="AJ55" s="902"/>
      <c r="AK55" s="872"/>
      <c r="AL55" s="868"/>
    </row>
    <row r="56" spans="1:38" ht="16.5" customHeight="1">
      <c r="A56" s="861"/>
      <c r="B56" s="890"/>
      <c r="C56" s="861"/>
      <c r="D56" s="857"/>
      <c r="E56" s="857"/>
      <c r="F56" s="857"/>
      <c r="G56" s="891"/>
      <c r="H56" s="892"/>
      <c r="I56" s="867"/>
      <c r="J56" s="867"/>
      <c r="K56" s="867"/>
      <c r="L56" s="867"/>
      <c r="M56" s="867"/>
      <c r="N56" s="867"/>
      <c r="O56" s="867"/>
      <c r="P56" s="889"/>
      <c r="Q56" s="871" t="str">
        <f>IF(ISBLANK(A56),"",IF(ISBLANK(G56),SUM(H56:P57),0))</f>
        <v/>
      </c>
      <c r="R56" s="872" t="str">
        <f>IF(Q56="","",Q56+R54)</f>
        <v/>
      </c>
      <c r="S56" s="868">
        <f>IF(G56="X",0,COUNT(H56:P57))</f>
        <v>0</v>
      </c>
      <c r="T56" s="861"/>
      <c r="U56" s="862"/>
      <c r="V56" s="864"/>
      <c r="W56" s="841"/>
      <c r="X56" s="841"/>
      <c r="Y56" s="841"/>
      <c r="Z56" s="843"/>
      <c r="AA56" s="845"/>
      <c r="AB56" s="847"/>
      <c r="AC56" s="847"/>
      <c r="AD56" s="847"/>
      <c r="AE56" s="847"/>
      <c r="AF56" s="847"/>
      <c r="AG56" s="847"/>
      <c r="AH56" s="847"/>
      <c r="AI56" s="885"/>
      <c r="AJ56" s="887" t="str">
        <f>IF(ISBLANK(T56),"",IF(ISBLANK(Z56),SUM(AA56:AI57),0))</f>
        <v/>
      </c>
      <c r="AK56" s="872" t="str">
        <f>IF(AJ56="","",AJ56+AK54)</f>
        <v/>
      </c>
      <c r="AL56" s="868">
        <f>IF(Z56="X",0,COUNT(AA56:AI57))</f>
        <v>0</v>
      </c>
    </row>
    <row r="57" spans="1:38" ht="16.5" customHeight="1">
      <c r="A57" s="861"/>
      <c r="B57" s="890"/>
      <c r="C57" s="861"/>
      <c r="D57" s="857"/>
      <c r="E57" s="857"/>
      <c r="F57" s="857"/>
      <c r="G57" s="891"/>
      <c r="H57" s="892"/>
      <c r="I57" s="867"/>
      <c r="J57" s="867"/>
      <c r="K57" s="867"/>
      <c r="L57" s="867"/>
      <c r="M57" s="867"/>
      <c r="N57" s="867"/>
      <c r="O57" s="867"/>
      <c r="P57" s="889"/>
      <c r="Q57" s="871"/>
      <c r="R57" s="872"/>
      <c r="S57" s="868"/>
      <c r="T57" s="861"/>
      <c r="U57" s="863"/>
      <c r="V57" s="865"/>
      <c r="W57" s="842"/>
      <c r="X57" s="842"/>
      <c r="Y57" s="842"/>
      <c r="Z57" s="844"/>
      <c r="AA57" s="846"/>
      <c r="AB57" s="848"/>
      <c r="AC57" s="848"/>
      <c r="AD57" s="848"/>
      <c r="AE57" s="848"/>
      <c r="AF57" s="848"/>
      <c r="AG57" s="848"/>
      <c r="AH57" s="848"/>
      <c r="AI57" s="886"/>
      <c r="AJ57" s="888"/>
      <c r="AK57" s="872"/>
      <c r="AL57" s="868"/>
    </row>
    <row r="58" spans="1:38" ht="16.5" customHeight="1">
      <c r="A58" s="855"/>
      <c r="B58" s="856"/>
      <c r="C58" s="855"/>
      <c r="D58" s="858"/>
      <c r="E58" s="858"/>
      <c r="F58" s="858"/>
      <c r="G58" s="860"/>
      <c r="H58" s="861"/>
      <c r="I58" s="857"/>
      <c r="J58" s="857"/>
      <c r="K58" s="857"/>
      <c r="L58" s="857"/>
      <c r="M58" s="857"/>
      <c r="N58" s="857"/>
      <c r="O58" s="857"/>
      <c r="P58" s="883"/>
      <c r="Q58" s="873" t="str">
        <f>IF(ISBLANK(A58),"",IF(ISBLANK(G58),SUM(H58:P59),0))</f>
        <v/>
      </c>
      <c r="R58" s="872" t="str">
        <f>IF(Q58="","",Q58+R56)</f>
        <v/>
      </c>
      <c r="S58" s="868">
        <f>IF(G58="X",0,COUNT(H58:P59))</f>
        <v>0</v>
      </c>
      <c r="T58" s="869"/>
      <c r="U58" s="895"/>
      <c r="V58" s="869"/>
      <c r="W58" s="897"/>
      <c r="X58" s="897"/>
      <c r="Y58" s="897"/>
      <c r="Z58" s="899"/>
      <c r="AA58" s="864"/>
      <c r="AB58" s="841"/>
      <c r="AC58" s="841"/>
      <c r="AD58" s="841"/>
      <c r="AE58" s="841"/>
      <c r="AF58" s="841"/>
      <c r="AG58" s="841"/>
      <c r="AH58" s="841"/>
      <c r="AI58" s="893"/>
      <c r="AJ58" s="901" t="str">
        <f>IF(ISBLANK(T58),"",IF(ISBLANK(Z58),SUM(AA58:AI59),0))</f>
        <v/>
      </c>
      <c r="AK58" s="872" t="str">
        <f>IF(AJ58="","",AJ58+AK56)</f>
        <v/>
      </c>
      <c r="AL58" s="868">
        <f>IF(Z58="X",0,COUNT(AA58:AI59))</f>
        <v>0</v>
      </c>
    </row>
    <row r="59" spans="1:38" ht="16.5" customHeight="1">
      <c r="A59" s="855"/>
      <c r="B59" s="856"/>
      <c r="C59" s="855"/>
      <c r="D59" s="858"/>
      <c r="E59" s="858"/>
      <c r="F59" s="858"/>
      <c r="G59" s="860"/>
      <c r="H59" s="861"/>
      <c r="I59" s="857"/>
      <c r="J59" s="857"/>
      <c r="K59" s="857"/>
      <c r="L59" s="857"/>
      <c r="M59" s="857"/>
      <c r="N59" s="857"/>
      <c r="O59" s="857"/>
      <c r="P59" s="883"/>
      <c r="Q59" s="873"/>
      <c r="R59" s="872"/>
      <c r="S59" s="868"/>
      <c r="T59" s="870"/>
      <c r="U59" s="896"/>
      <c r="V59" s="870"/>
      <c r="W59" s="898"/>
      <c r="X59" s="898"/>
      <c r="Y59" s="898"/>
      <c r="Z59" s="900"/>
      <c r="AA59" s="865"/>
      <c r="AB59" s="842"/>
      <c r="AC59" s="842"/>
      <c r="AD59" s="842"/>
      <c r="AE59" s="842"/>
      <c r="AF59" s="842"/>
      <c r="AG59" s="842"/>
      <c r="AH59" s="842"/>
      <c r="AI59" s="894"/>
      <c r="AJ59" s="902"/>
      <c r="AK59" s="872"/>
      <c r="AL59" s="868"/>
    </row>
    <row r="60" spans="1:38" ht="16.5" customHeight="1">
      <c r="A60" s="861"/>
      <c r="B60" s="890"/>
      <c r="C60" s="861"/>
      <c r="D60" s="857"/>
      <c r="E60" s="857"/>
      <c r="F60" s="857"/>
      <c r="G60" s="891"/>
      <c r="H60" s="892"/>
      <c r="I60" s="867"/>
      <c r="J60" s="867"/>
      <c r="K60" s="867"/>
      <c r="L60" s="867"/>
      <c r="M60" s="867"/>
      <c r="N60" s="867"/>
      <c r="O60" s="867"/>
      <c r="P60" s="889"/>
      <c r="Q60" s="871" t="str">
        <f>IF(ISBLANK(A60),"",IF(ISBLANK(G60),SUM(H60:P61),0))</f>
        <v/>
      </c>
      <c r="R60" s="872" t="str">
        <f>IF(Q60="","",Q60+R58)</f>
        <v/>
      </c>
      <c r="S60" s="868">
        <f>IF(G60="X",0,COUNT(H60:P61))</f>
        <v>0</v>
      </c>
      <c r="T60" s="861"/>
      <c r="U60" s="862"/>
      <c r="V60" s="864"/>
      <c r="W60" s="841"/>
      <c r="X60" s="841"/>
      <c r="Y60" s="841"/>
      <c r="Z60" s="843"/>
      <c r="AA60" s="845"/>
      <c r="AB60" s="847"/>
      <c r="AC60" s="847"/>
      <c r="AD60" s="847"/>
      <c r="AE60" s="847"/>
      <c r="AF60" s="847"/>
      <c r="AG60" s="847"/>
      <c r="AH60" s="847"/>
      <c r="AI60" s="885"/>
      <c r="AJ60" s="887" t="str">
        <f>IF(ISBLANK(T60),"",IF(ISBLANK(Z60),SUM(AA60:AI61),0))</f>
        <v/>
      </c>
      <c r="AK60" s="872" t="str">
        <f>IF(AJ60="","",AJ60+AK58)</f>
        <v/>
      </c>
      <c r="AL60" s="868">
        <f>IF(Z60="X",0,COUNT(AA60:AI61))</f>
        <v>0</v>
      </c>
    </row>
    <row r="61" spans="1:38" ht="16.5" customHeight="1">
      <c r="A61" s="861"/>
      <c r="B61" s="890"/>
      <c r="C61" s="861"/>
      <c r="D61" s="857"/>
      <c r="E61" s="857"/>
      <c r="F61" s="857"/>
      <c r="G61" s="891"/>
      <c r="H61" s="892"/>
      <c r="I61" s="867"/>
      <c r="J61" s="867"/>
      <c r="K61" s="867"/>
      <c r="L61" s="867"/>
      <c r="M61" s="867"/>
      <c r="N61" s="867"/>
      <c r="O61" s="867"/>
      <c r="P61" s="889"/>
      <c r="Q61" s="871"/>
      <c r="R61" s="872"/>
      <c r="S61" s="868"/>
      <c r="T61" s="861"/>
      <c r="U61" s="863"/>
      <c r="V61" s="865"/>
      <c r="W61" s="842"/>
      <c r="X61" s="842"/>
      <c r="Y61" s="842"/>
      <c r="Z61" s="844"/>
      <c r="AA61" s="846"/>
      <c r="AB61" s="848"/>
      <c r="AC61" s="848"/>
      <c r="AD61" s="848"/>
      <c r="AE61" s="848"/>
      <c r="AF61" s="848"/>
      <c r="AG61" s="848"/>
      <c r="AH61" s="848"/>
      <c r="AI61" s="886"/>
      <c r="AJ61" s="888"/>
      <c r="AK61" s="872"/>
      <c r="AL61" s="868"/>
    </row>
    <row r="62" spans="1:38" ht="16.5" customHeight="1">
      <c r="A62" s="855"/>
      <c r="B62" s="856"/>
      <c r="C62" s="855"/>
      <c r="D62" s="858"/>
      <c r="E62" s="858"/>
      <c r="F62" s="858"/>
      <c r="G62" s="860"/>
      <c r="H62" s="861"/>
      <c r="I62" s="857"/>
      <c r="J62" s="857"/>
      <c r="K62" s="857"/>
      <c r="L62" s="857"/>
      <c r="M62" s="857"/>
      <c r="N62" s="857"/>
      <c r="O62" s="857"/>
      <c r="P62" s="883"/>
      <c r="Q62" s="873" t="str">
        <f>IF(ISBLANK(A62),"",IF(ISBLANK(G62),SUM(H62:P63),0))</f>
        <v/>
      </c>
      <c r="R62" s="872" t="str">
        <f>IF(Q62="","",Q62+R60)</f>
        <v/>
      </c>
      <c r="S62" s="868">
        <f>IF(G62="X",0,COUNT(H62:P63))</f>
        <v>0</v>
      </c>
      <c r="T62" s="869"/>
      <c r="U62" s="895"/>
      <c r="V62" s="869"/>
      <c r="W62" s="897"/>
      <c r="X62" s="897"/>
      <c r="Y62" s="897"/>
      <c r="Z62" s="899"/>
      <c r="AA62" s="864"/>
      <c r="AB62" s="841"/>
      <c r="AC62" s="841"/>
      <c r="AD62" s="841"/>
      <c r="AE62" s="841"/>
      <c r="AF62" s="841"/>
      <c r="AG62" s="841"/>
      <c r="AH62" s="841"/>
      <c r="AI62" s="893"/>
      <c r="AJ62" s="901" t="str">
        <f>IF(ISBLANK(T62),"",IF(ISBLANK(Z62),SUM(AA62:AI63),0))</f>
        <v/>
      </c>
      <c r="AK62" s="872" t="str">
        <f>IF(AJ62="","",AJ62+AK60)</f>
        <v/>
      </c>
      <c r="AL62" s="868">
        <f>IF(Z62="X",0,COUNT(AA62:AI63))</f>
        <v>0</v>
      </c>
    </row>
    <row r="63" spans="1:38" ht="16.5" customHeight="1">
      <c r="A63" s="855"/>
      <c r="B63" s="856"/>
      <c r="C63" s="855"/>
      <c r="D63" s="858"/>
      <c r="E63" s="858"/>
      <c r="F63" s="858"/>
      <c r="G63" s="860"/>
      <c r="H63" s="861"/>
      <c r="I63" s="857"/>
      <c r="J63" s="857"/>
      <c r="K63" s="857"/>
      <c r="L63" s="857"/>
      <c r="M63" s="857"/>
      <c r="N63" s="857"/>
      <c r="O63" s="857"/>
      <c r="P63" s="883"/>
      <c r="Q63" s="873"/>
      <c r="R63" s="872"/>
      <c r="S63" s="868"/>
      <c r="T63" s="870"/>
      <c r="U63" s="896"/>
      <c r="V63" s="870"/>
      <c r="W63" s="898"/>
      <c r="X63" s="898"/>
      <c r="Y63" s="898"/>
      <c r="Z63" s="900"/>
      <c r="AA63" s="865"/>
      <c r="AB63" s="842"/>
      <c r="AC63" s="842"/>
      <c r="AD63" s="842"/>
      <c r="AE63" s="842"/>
      <c r="AF63" s="842"/>
      <c r="AG63" s="842"/>
      <c r="AH63" s="842"/>
      <c r="AI63" s="894"/>
      <c r="AJ63" s="902"/>
      <c r="AK63" s="872"/>
      <c r="AL63" s="868"/>
    </row>
    <row r="64" spans="1:38" ht="16.5" customHeight="1">
      <c r="A64" s="861"/>
      <c r="B64" s="890"/>
      <c r="C64" s="861"/>
      <c r="D64" s="857"/>
      <c r="E64" s="857"/>
      <c r="F64" s="857"/>
      <c r="G64" s="891"/>
      <c r="H64" s="892"/>
      <c r="I64" s="867"/>
      <c r="J64" s="867"/>
      <c r="K64" s="867"/>
      <c r="L64" s="867"/>
      <c r="M64" s="867"/>
      <c r="N64" s="867"/>
      <c r="O64" s="867"/>
      <c r="P64" s="889"/>
      <c r="Q64" s="871" t="str">
        <f>IF(ISBLANK(A64),"",IF(ISBLANK(G64),SUM(H64:P65),0))</f>
        <v/>
      </c>
      <c r="R64" s="872" t="str">
        <f>IF(Q64="","",Q64+R62)</f>
        <v/>
      </c>
      <c r="S64" s="868">
        <f>IF(G64="X",0,COUNT(H64:P65))</f>
        <v>0</v>
      </c>
      <c r="T64" s="861"/>
      <c r="U64" s="862"/>
      <c r="V64" s="864"/>
      <c r="W64" s="841"/>
      <c r="X64" s="841"/>
      <c r="Y64" s="841"/>
      <c r="Z64" s="843"/>
      <c r="AA64" s="845"/>
      <c r="AB64" s="847"/>
      <c r="AC64" s="847"/>
      <c r="AD64" s="847"/>
      <c r="AE64" s="847"/>
      <c r="AF64" s="847"/>
      <c r="AG64" s="847"/>
      <c r="AH64" s="847"/>
      <c r="AI64" s="885"/>
      <c r="AJ64" s="887" t="str">
        <f>IF(ISBLANK(T64),"",IF(ISBLANK(Z64),SUM(AA64:AI65),0))</f>
        <v/>
      </c>
      <c r="AK64" s="872" t="str">
        <f>IF(AJ64="","",AJ64+AK62)</f>
        <v/>
      </c>
      <c r="AL64" s="868">
        <f>IF(Z64="X",0,COUNT(AA64:AI65))</f>
        <v>0</v>
      </c>
    </row>
    <row r="65" spans="1:38" ht="16.5" customHeight="1">
      <c r="A65" s="861"/>
      <c r="B65" s="890"/>
      <c r="C65" s="861"/>
      <c r="D65" s="857"/>
      <c r="E65" s="857"/>
      <c r="F65" s="857"/>
      <c r="G65" s="891"/>
      <c r="H65" s="892"/>
      <c r="I65" s="867"/>
      <c r="J65" s="867"/>
      <c r="K65" s="867"/>
      <c r="L65" s="867"/>
      <c r="M65" s="867"/>
      <c r="N65" s="867"/>
      <c r="O65" s="867"/>
      <c r="P65" s="889"/>
      <c r="Q65" s="871"/>
      <c r="R65" s="872"/>
      <c r="S65" s="868"/>
      <c r="T65" s="861"/>
      <c r="U65" s="863"/>
      <c r="V65" s="865"/>
      <c r="W65" s="842"/>
      <c r="X65" s="842"/>
      <c r="Y65" s="842"/>
      <c r="Z65" s="844"/>
      <c r="AA65" s="846"/>
      <c r="AB65" s="848"/>
      <c r="AC65" s="848"/>
      <c r="AD65" s="848"/>
      <c r="AE65" s="848"/>
      <c r="AF65" s="848"/>
      <c r="AG65" s="848"/>
      <c r="AH65" s="848"/>
      <c r="AI65" s="886"/>
      <c r="AJ65" s="888"/>
      <c r="AK65" s="872"/>
      <c r="AL65" s="868"/>
    </row>
    <row r="66" spans="1:38" ht="16.5" customHeight="1">
      <c r="A66" s="855"/>
      <c r="B66" s="856"/>
      <c r="C66" s="855"/>
      <c r="D66" s="858"/>
      <c r="E66" s="858"/>
      <c r="F66" s="858"/>
      <c r="G66" s="860"/>
      <c r="H66" s="861"/>
      <c r="I66" s="857"/>
      <c r="J66" s="857"/>
      <c r="K66" s="857"/>
      <c r="L66" s="857"/>
      <c r="M66" s="857"/>
      <c r="N66" s="857"/>
      <c r="O66" s="857"/>
      <c r="P66" s="883"/>
      <c r="Q66" s="873" t="str">
        <f>IF(ISBLANK(A66),"",IF(ISBLANK(G66),SUM(H66:P67),0))</f>
        <v/>
      </c>
      <c r="R66" s="872" t="str">
        <f>IF(Q66="","",Q66+R64)</f>
        <v/>
      </c>
      <c r="S66" s="868">
        <f>IF(G66="X",0,COUNT(H66:P67))</f>
        <v>0</v>
      </c>
      <c r="T66" s="869"/>
      <c r="U66" s="895"/>
      <c r="V66" s="869"/>
      <c r="W66" s="897"/>
      <c r="X66" s="897"/>
      <c r="Y66" s="897"/>
      <c r="Z66" s="899"/>
      <c r="AA66" s="864"/>
      <c r="AB66" s="841"/>
      <c r="AC66" s="841"/>
      <c r="AD66" s="841"/>
      <c r="AE66" s="841"/>
      <c r="AF66" s="841"/>
      <c r="AG66" s="841"/>
      <c r="AH66" s="841"/>
      <c r="AI66" s="893"/>
      <c r="AJ66" s="901" t="str">
        <f>IF(ISBLANK(T66),"",IF(ISBLANK(Z66),SUM(AA66:AI67),0))</f>
        <v/>
      </c>
      <c r="AK66" s="872" t="str">
        <f>IF(AJ66="","",AJ66+AK64)</f>
        <v/>
      </c>
      <c r="AL66" s="868">
        <f>IF(Z66="X",0,COUNT(AA66:AI67))</f>
        <v>0</v>
      </c>
    </row>
    <row r="67" spans="1:38" ht="16.5" customHeight="1">
      <c r="A67" s="855"/>
      <c r="B67" s="856"/>
      <c r="C67" s="855"/>
      <c r="D67" s="858"/>
      <c r="E67" s="858"/>
      <c r="F67" s="858"/>
      <c r="G67" s="860"/>
      <c r="H67" s="861"/>
      <c r="I67" s="857"/>
      <c r="J67" s="857"/>
      <c r="K67" s="857"/>
      <c r="L67" s="857"/>
      <c r="M67" s="857"/>
      <c r="N67" s="857"/>
      <c r="O67" s="857"/>
      <c r="P67" s="883"/>
      <c r="Q67" s="873"/>
      <c r="R67" s="872"/>
      <c r="S67" s="868"/>
      <c r="T67" s="870"/>
      <c r="U67" s="896"/>
      <c r="V67" s="870"/>
      <c r="W67" s="898"/>
      <c r="X67" s="898"/>
      <c r="Y67" s="898"/>
      <c r="Z67" s="900"/>
      <c r="AA67" s="865"/>
      <c r="AB67" s="842"/>
      <c r="AC67" s="842"/>
      <c r="AD67" s="842"/>
      <c r="AE67" s="842"/>
      <c r="AF67" s="842"/>
      <c r="AG67" s="842"/>
      <c r="AH67" s="842"/>
      <c r="AI67" s="894"/>
      <c r="AJ67" s="902"/>
      <c r="AK67" s="872"/>
      <c r="AL67" s="868"/>
    </row>
    <row r="68" spans="1:38" ht="16.5" customHeight="1">
      <c r="A68" s="861"/>
      <c r="B68" s="890"/>
      <c r="C68" s="861"/>
      <c r="D68" s="857"/>
      <c r="E68" s="857"/>
      <c r="F68" s="857"/>
      <c r="G68" s="891"/>
      <c r="H68" s="892"/>
      <c r="I68" s="867"/>
      <c r="J68" s="867"/>
      <c r="K68" s="867"/>
      <c r="L68" s="867"/>
      <c r="M68" s="867"/>
      <c r="N68" s="867"/>
      <c r="O68" s="867"/>
      <c r="P68" s="889"/>
      <c r="Q68" s="871" t="str">
        <f>IF(ISBLANK(A68),"",IF(ISBLANK(G68),SUM(H68:P69),0))</f>
        <v/>
      </c>
      <c r="R68" s="872" t="str">
        <f>IF(Q68="","",Q68+R66)</f>
        <v/>
      </c>
      <c r="S68" s="868">
        <f>IF(G68="X",0,COUNT(H68:P69))</f>
        <v>0</v>
      </c>
      <c r="T68" s="861"/>
      <c r="U68" s="862"/>
      <c r="V68" s="864"/>
      <c r="W68" s="841"/>
      <c r="X68" s="841"/>
      <c r="Y68" s="841"/>
      <c r="Z68" s="843"/>
      <c r="AA68" s="845"/>
      <c r="AB68" s="847"/>
      <c r="AC68" s="847"/>
      <c r="AD68" s="847"/>
      <c r="AE68" s="847"/>
      <c r="AF68" s="847"/>
      <c r="AG68" s="847"/>
      <c r="AH68" s="847"/>
      <c r="AI68" s="885"/>
      <c r="AJ68" s="887" t="str">
        <f>IF(ISBLANK(T68),"",IF(ISBLANK(Z68),SUM(AA68:AI69),0))</f>
        <v/>
      </c>
      <c r="AK68" s="872" t="str">
        <f>IF(AJ68="","",AJ68+AK66)</f>
        <v/>
      </c>
      <c r="AL68" s="868">
        <f>IF(Z68="X",0,COUNT(AA68:AI69))</f>
        <v>0</v>
      </c>
    </row>
    <row r="69" spans="1:38" ht="16.5" customHeight="1">
      <c r="A69" s="861"/>
      <c r="B69" s="890"/>
      <c r="C69" s="861"/>
      <c r="D69" s="857"/>
      <c r="E69" s="857"/>
      <c r="F69" s="857"/>
      <c r="G69" s="891"/>
      <c r="H69" s="892"/>
      <c r="I69" s="867"/>
      <c r="J69" s="867"/>
      <c r="K69" s="867"/>
      <c r="L69" s="867"/>
      <c r="M69" s="867"/>
      <c r="N69" s="867"/>
      <c r="O69" s="867"/>
      <c r="P69" s="889"/>
      <c r="Q69" s="871"/>
      <c r="R69" s="872"/>
      <c r="S69" s="868"/>
      <c r="T69" s="861"/>
      <c r="U69" s="863"/>
      <c r="V69" s="865"/>
      <c r="W69" s="842"/>
      <c r="X69" s="842"/>
      <c r="Y69" s="842"/>
      <c r="Z69" s="844"/>
      <c r="AA69" s="846"/>
      <c r="AB69" s="848"/>
      <c r="AC69" s="848"/>
      <c r="AD69" s="848"/>
      <c r="AE69" s="848"/>
      <c r="AF69" s="848"/>
      <c r="AG69" s="848"/>
      <c r="AH69" s="848"/>
      <c r="AI69" s="886"/>
      <c r="AJ69" s="888"/>
      <c r="AK69" s="872"/>
      <c r="AL69" s="868"/>
    </row>
    <row r="70" spans="1:38" ht="16.5" customHeight="1">
      <c r="A70" s="855"/>
      <c r="B70" s="856"/>
      <c r="C70" s="855"/>
      <c r="D70" s="858"/>
      <c r="E70" s="858"/>
      <c r="F70" s="858"/>
      <c r="G70" s="860"/>
      <c r="H70" s="861"/>
      <c r="I70" s="857"/>
      <c r="J70" s="857"/>
      <c r="K70" s="857"/>
      <c r="L70" s="857"/>
      <c r="M70" s="857"/>
      <c r="N70" s="857"/>
      <c r="O70" s="857"/>
      <c r="P70" s="883"/>
      <c r="Q70" s="873" t="str">
        <f>IF(ISBLANK(A70),"",IF(ISBLANK(G70),SUM(H70:P71),0))</f>
        <v/>
      </c>
      <c r="R70" s="872" t="str">
        <f>IF(Q70="","",Q70+R68)</f>
        <v/>
      </c>
      <c r="S70" s="868">
        <f>IF(G70="X",0,COUNT(H70:P71))</f>
        <v>0</v>
      </c>
      <c r="T70" s="869"/>
      <c r="U70" s="895"/>
      <c r="V70" s="869"/>
      <c r="W70" s="897"/>
      <c r="X70" s="897"/>
      <c r="Y70" s="897"/>
      <c r="Z70" s="899"/>
      <c r="AA70" s="864"/>
      <c r="AB70" s="841"/>
      <c r="AC70" s="841"/>
      <c r="AD70" s="841"/>
      <c r="AE70" s="841"/>
      <c r="AF70" s="841"/>
      <c r="AG70" s="841"/>
      <c r="AH70" s="841"/>
      <c r="AI70" s="893"/>
      <c r="AJ70" s="901" t="str">
        <f>IF(ISBLANK(T70),"",IF(ISBLANK(Z70),SUM(AA70:AI71),0))</f>
        <v/>
      </c>
      <c r="AK70" s="872" t="str">
        <f>IF(AJ70="","",AJ70+AK68)</f>
        <v/>
      </c>
      <c r="AL70" s="868">
        <f>IF(Z70="X",0,COUNT(AA70:AI71))</f>
        <v>0</v>
      </c>
    </row>
    <row r="71" spans="1:38" ht="16.5" customHeight="1">
      <c r="A71" s="855"/>
      <c r="B71" s="856"/>
      <c r="C71" s="855"/>
      <c r="D71" s="858"/>
      <c r="E71" s="858"/>
      <c r="F71" s="858"/>
      <c r="G71" s="860"/>
      <c r="H71" s="861"/>
      <c r="I71" s="857"/>
      <c r="J71" s="857"/>
      <c r="K71" s="857"/>
      <c r="L71" s="857"/>
      <c r="M71" s="857"/>
      <c r="N71" s="857"/>
      <c r="O71" s="857"/>
      <c r="P71" s="883"/>
      <c r="Q71" s="873"/>
      <c r="R71" s="872"/>
      <c r="S71" s="868"/>
      <c r="T71" s="870"/>
      <c r="U71" s="896"/>
      <c r="V71" s="870"/>
      <c r="W71" s="898"/>
      <c r="X71" s="898"/>
      <c r="Y71" s="898"/>
      <c r="Z71" s="900"/>
      <c r="AA71" s="865"/>
      <c r="AB71" s="842"/>
      <c r="AC71" s="842"/>
      <c r="AD71" s="842"/>
      <c r="AE71" s="842"/>
      <c r="AF71" s="842"/>
      <c r="AG71" s="842"/>
      <c r="AH71" s="842"/>
      <c r="AI71" s="894"/>
      <c r="AJ71" s="902"/>
      <c r="AK71" s="872"/>
      <c r="AL71" s="868"/>
    </row>
    <row r="72" spans="1:38" ht="16.5" customHeight="1">
      <c r="A72" s="861"/>
      <c r="B72" s="890"/>
      <c r="C72" s="861"/>
      <c r="D72" s="857"/>
      <c r="E72" s="857"/>
      <c r="F72" s="857"/>
      <c r="G72" s="891"/>
      <c r="H72" s="892"/>
      <c r="I72" s="867"/>
      <c r="J72" s="867"/>
      <c r="K72" s="867"/>
      <c r="L72" s="867"/>
      <c r="M72" s="867"/>
      <c r="N72" s="867"/>
      <c r="O72" s="867"/>
      <c r="P72" s="889"/>
      <c r="Q72" s="871" t="str">
        <f>IF(ISBLANK(A72),"",IF(ISBLANK(G72),SUM(H72:P73),0))</f>
        <v/>
      </c>
      <c r="R72" s="872" t="str">
        <f>IF(Q72="","",Q72+R70)</f>
        <v/>
      </c>
      <c r="S72" s="868">
        <f>IF(G72="X",0,COUNT(H72:P73))</f>
        <v>0</v>
      </c>
      <c r="T72" s="861"/>
      <c r="U72" s="862"/>
      <c r="V72" s="864"/>
      <c r="W72" s="841"/>
      <c r="X72" s="841"/>
      <c r="Y72" s="841"/>
      <c r="Z72" s="843"/>
      <c r="AA72" s="845"/>
      <c r="AB72" s="847"/>
      <c r="AC72" s="847"/>
      <c r="AD72" s="847"/>
      <c r="AE72" s="847"/>
      <c r="AF72" s="847"/>
      <c r="AG72" s="847"/>
      <c r="AH72" s="847"/>
      <c r="AI72" s="885"/>
      <c r="AJ72" s="887" t="str">
        <f>IF(ISBLANK(T72),"",IF(ISBLANK(Z72),SUM(AA72:AI73),0))</f>
        <v/>
      </c>
      <c r="AK72" s="872" t="str">
        <f>IF(AJ72="","",AJ72+AK70)</f>
        <v/>
      </c>
      <c r="AL72" s="868">
        <f>IF(Z72="X",0,COUNT(AA72:AI73))</f>
        <v>0</v>
      </c>
    </row>
    <row r="73" spans="1:38" ht="16.5" customHeight="1">
      <c r="A73" s="861"/>
      <c r="B73" s="890"/>
      <c r="C73" s="861"/>
      <c r="D73" s="857"/>
      <c r="E73" s="857"/>
      <c r="F73" s="857"/>
      <c r="G73" s="891"/>
      <c r="H73" s="892"/>
      <c r="I73" s="867"/>
      <c r="J73" s="867"/>
      <c r="K73" s="867"/>
      <c r="L73" s="867"/>
      <c r="M73" s="867"/>
      <c r="N73" s="867"/>
      <c r="O73" s="867"/>
      <c r="P73" s="889"/>
      <c r="Q73" s="871"/>
      <c r="R73" s="872"/>
      <c r="S73" s="868"/>
      <c r="T73" s="861"/>
      <c r="U73" s="863"/>
      <c r="V73" s="865"/>
      <c r="W73" s="842"/>
      <c r="X73" s="842"/>
      <c r="Y73" s="842"/>
      <c r="Z73" s="844"/>
      <c r="AA73" s="846"/>
      <c r="AB73" s="848"/>
      <c r="AC73" s="848"/>
      <c r="AD73" s="848"/>
      <c r="AE73" s="848"/>
      <c r="AF73" s="848"/>
      <c r="AG73" s="848"/>
      <c r="AH73" s="848"/>
      <c r="AI73" s="886"/>
      <c r="AJ73" s="888"/>
      <c r="AK73" s="872"/>
      <c r="AL73" s="868"/>
    </row>
    <row r="74" spans="1:38" ht="16.5" customHeight="1">
      <c r="A74" s="855"/>
      <c r="B74" s="856"/>
      <c r="C74" s="855"/>
      <c r="D74" s="858"/>
      <c r="E74" s="858"/>
      <c r="F74" s="858"/>
      <c r="G74" s="860"/>
      <c r="H74" s="861"/>
      <c r="I74" s="857"/>
      <c r="J74" s="857"/>
      <c r="K74" s="857"/>
      <c r="L74" s="857"/>
      <c r="M74" s="857"/>
      <c r="N74" s="857"/>
      <c r="O74" s="857"/>
      <c r="P74" s="883"/>
      <c r="Q74" s="873" t="str">
        <f>IF(ISBLANK(A74),"",IF(ISBLANK(G74),SUM(H74:P75),0))</f>
        <v/>
      </c>
      <c r="R74" s="872" t="str">
        <f>IF(Q74="","",Q74+R72)</f>
        <v/>
      </c>
      <c r="S74" s="868">
        <f>IF(G74="X",0,COUNT(H74:P75))</f>
        <v>0</v>
      </c>
      <c r="T74" s="869"/>
      <c r="U74" s="895"/>
      <c r="V74" s="869"/>
      <c r="W74" s="897"/>
      <c r="X74" s="897"/>
      <c r="Y74" s="897"/>
      <c r="Z74" s="899"/>
      <c r="AA74" s="864"/>
      <c r="AB74" s="841"/>
      <c r="AC74" s="841"/>
      <c r="AD74" s="841"/>
      <c r="AE74" s="841"/>
      <c r="AF74" s="841"/>
      <c r="AG74" s="841"/>
      <c r="AH74" s="841"/>
      <c r="AI74" s="893"/>
      <c r="AJ74" s="901" t="str">
        <f>IF(ISBLANK(T74),"",IF(ISBLANK(Z74),SUM(AA74:AI75),0))</f>
        <v/>
      </c>
      <c r="AK74" s="872" t="str">
        <f>IF(AJ74="","",AJ74+AK72)</f>
        <v/>
      </c>
      <c r="AL74" s="868">
        <f>IF(Z74="X",0,COUNT(AA74:AI75))</f>
        <v>0</v>
      </c>
    </row>
    <row r="75" spans="1:38" ht="16.5" customHeight="1">
      <c r="A75" s="855"/>
      <c r="B75" s="856"/>
      <c r="C75" s="855"/>
      <c r="D75" s="858"/>
      <c r="E75" s="858"/>
      <c r="F75" s="858"/>
      <c r="G75" s="860"/>
      <c r="H75" s="861"/>
      <c r="I75" s="857"/>
      <c r="J75" s="857"/>
      <c r="K75" s="857"/>
      <c r="L75" s="857"/>
      <c r="M75" s="857"/>
      <c r="N75" s="857"/>
      <c r="O75" s="857"/>
      <c r="P75" s="883"/>
      <c r="Q75" s="873"/>
      <c r="R75" s="872"/>
      <c r="S75" s="868"/>
      <c r="T75" s="870"/>
      <c r="U75" s="896"/>
      <c r="V75" s="870"/>
      <c r="W75" s="898"/>
      <c r="X75" s="898"/>
      <c r="Y75" s="898"/>
      <c r="Z75" s="900"/>
      <c r="AA75" s="865"/>
      <c r="AB75" s="842"/>
      <c r="AC75" s="842"/>
      <c r="AD75" s="842"/>
      <c r="AE75" s="842"/>
      <c r="AF75" s="842"/>
      <c r="AG75" s="842"/>
      <c r="AH75" s="842"/>
      <c r="AI75" s="894"/>
      <c r="AJ75" s="902"/>
      <c r="AK75" s="872"/>
      <c r="AL75" s="868"/>
    </row>
    <row r="76" spans="1:38" ht="16.5" customHeight="1">
      <c r="A76" s="861"/>
      <c r="B76" s="890"/>
      <c r="C76" s="861"/>
      <c r="D76" s="857"/>
      <c r="E76" s="857"/>
      <c r="F76" s="857"/>
      <c r="G76" s="891"/>
      <c r="H76" s="892"/>
      <c r="I76" s="867"/>
      <c r="J76" s="867"/>
      <c r="K76" s="867"/>
      <c r="L76" s="867"/>
      <c r="M76" s="867"/>
      <c r="N76" s="867"/>
      <c r="O76" s="867"/>
      <c r="P76" s="889"/>
      <c r="Q76" s="871" t="str">
        <f>IF(ISBLANK(A76),"",IF(ISBLANK(G76),SUM(H76:P77),0))</f>
        <v/>
      </c>
      <c r="R76" s="872" t="str">
        <f>IF(Q76="","",Q76+R74)</f>
        <v/>
      </c>
      <c r="S76" s="868">
        <f>IF(G76="X",0,COUNT(H76:P77))</f>
        <v>0</v>
      </c>
      <c r="T76" s="861"/>
      <c r="U76" s="862"/>
      <c r="V76" s="864"/>
      <c r="W76" s="841"/>
      <c r="X76" s="841"/>
      <c r="Y76" s="841"/>
      <c r="Z76" s="843"/>
      <c r="AA76" s="845"/>
      <c r="AB76" s="847"/>
      <c r="AC76" s="847"/>
      <c r="AD76" s="847"/>
      <c r="AE76" s="847"/>
      <c r="AF76" s="847"/>
      <c r="AG76" s="847"/>
      <c r="AH76" s="847"/>
      <c r="AI76" s="885"/>
      <c r="AJ76" s="887" t="str">
        <f>IF(ISBLANK(T76),"",IF(ISBLANK(Z76),SUM(AA76:AI77),0))</f>
        <v/>
      </c>
      <c r="AK76" s="872" t="str">
        <f>IF(AJ76="","",AJ76+AK74)</f>
        <v/>
      </c>
      <c r="AL76" s="868">
        <f>IF(Z76="X",0,COUNT(AA76:AI77))</f>
        <v>0</v>
      </c>
    </row>
    <row r="77" spans="1:38" ht="16.5" customHeight="1">
      <c r="A77" s="861"/>
      <c r="B77" s="890"/>
      <c r="C77" s="861"/>
      <c r="D77" s="857"/>
      <c r="E77" s="857"/>
      <c r="F77" s="857"/>
      <c r="G77" s="891"/>
      <c r="H77" s="892"/>
      <c r="I77" s="867"/>
      <c r="J77" s="867"/>
      <c r="K77" s="867"/>
      <c r="L77" s="867"/>
      <c r="M77" s="867"/>
      <c r="N77" s="867"/>
      <c r="O77" s="867"/>
      <c r="P77" s="889"/>
      <c r="Q77" s="871"/>
      <c r="R77" s="872"/>
      <c r="S77" s="868"/>
      <c r="T77" s="861"/>
      <c r="U77" s="863"/>
      <c r="V77" s="865"/>
      <c r="W77" s="842"/>
      <c r="X77" s="842"/>
      <c r="Y77" s="842"/>
      <c r="Z77" s="844"/>
      <c r="AA77" s="846"/>
      <c r="AB77" s="848"/>
      <c r="AC77" s="848"/>
      <c r="AD77" s="848"/>
      <c r="AE77" s="848"/>
      <c r="AF77" s="848"/>
      <c r="AG77" s="848"/>
      <c r="AH77" s="848"/>
      <c r="AI77" s="886"/>
      <c r="AJ77" s="888"/>
      <c r="AK77" s="872"/>
      <c r="AL77" s="868"/>
    </row>
    <row r="78" spans="1:38" ht="16.5" customHeight="1">
      <c r="A78" s="855"/>
      <c r="B78" s="856"/>
      <c r="C78" s="855"/>
      <c r="D78" s="858"/>
      <c r="E78" s="858"/>
      <c r="F78" s="858"/>
      <c r="G78" s="860"/>
      <c r="H78" s="861"/>
      <c r="I78" s="857"/>
      <c r="J78" s="857"/>
      <c r="K78" s="857"/>
      <c r="L78" s="857"/>
      <c r="M78" s="857"/>
      <c r="N78" s="857"/>
      <c r="O78" s="857"/>
      <c r="P78" s="883"/>
      <c r="Q78" s="901" t="str">
        <f>IF(ISBLANK(A78),"",IF(ISBLANK(G78),SUM(H78:P79),0))</f>
        <v/>
      </c>
      <c r="R78" s="872" t="str">
        <f>IF(Q78="","",Q78+R76)</f>
        <v/>
      </c>
      <c r="S78" s="868">
        <f>IF(G78="X",0,COUNT(H78:P79))</f>
        <v>0</v>
      </c>
      <c r="T78" s="869"/>
      <c r="U78" s="895"/>
      <c r="V78" s="869"/>
      <c r="W78" s="897"/>
      <c r="X78" s="897"/>
      <c r="Y78" s="897"/>
      <c r="Z78" s="899"/>
      <c r="AA78" s="864"/>
      <c r="AB78" s="841"/>
      <c r="AC78" s="841"/>
      <c r="AD78" s="841"/>
      <c r="AE78" s="841"/>
      <c r="AF78" s="841"/>
      <c r="AG78" s="841"/>
      <c r="AH78" s="841"/>
      <c r="AI78" s="893"/>
      <c r="AJ78" s="901" t="str">
        <f>IF(ISBLANK(T78),"",IF(ISBLANK(Z78),SUM(AA78:AI79),0))</f>
        <v/>
      </c>
      <c r="AK78" s="872" t="str">
        <f>IF(AJ78="","",AJ78+AK76)</f>
        <v/>
      </c>
      <c r="AL78" s="868">
        <f>IF(Z78="X",0,COUNT(AA78:AI79))</f>
        <v>0</v>
      </c>
    </row>
    <row r="79" spans="1:38" ht="16.5" customHeight="1" thickBot="1">
      <c r="A79" s="905"/>
      <c r="B79" s="906"/>
      <c r="C79" s="905"/>
      <c r="D79" s="907"/>
      <c r="E79" s="907"/>
      <c r="F79" s="907"/>
      <c r="G79" s="908"/>
      <c r="H79" s="909"/>
      <c r="I79" s="904"/>
      <c r="J79" s="904"/>
      <c r="K79" s="904"/>
      <c r="L79" s="904"/>
      <c r="M79" s="904"/>
      <c r="N79" s="904"/>
      <c r="O79" s="904"/>
      <c r="P79" s="966"/>
      <c r="Q79" s="953"/>
      <c r="R79" s="954"/>
      <c r="S79" s="868"/>
      <c r="T79" s="903"/>
      <c r="U79" s="896"/>
      <c r="V79" s="903"/>
      <c r="W79" s="917"/>
      <c r="X79" s="917"/>
      <c r="Y79" s="917"/>
      <c r="Z79" s="918"/>
      <c r="AA79" s="919"/>
      <c r="AB79" s="916"/>
      <c r="AC79" s="916"/>
      <c r="AD79" s="916"/>
      <c r="AE79" s="916"/>
      <c r="AF79" s="916"/>
      <c r="AG79" s="916"/>
      <c r="AH79" s="916"/>
      <c r="AI79" s="921"/>
      <c r="AJ79" s="902"/>
      <c r="AK79" s="920"/>
      <c r="AL79" s="868"/>
    </row>
    <row r="80" spans="1:38" s="23" customFormat="1" ht="14.25" customHeight="1" thickBot="1">
      <c r="A80" s="960">
        <f>IF(COUNT(A4:A79),COUNT(A4:A79),"")</f>
        <v>24</v>
      </c>
      <c r="B80" s="962" t="s">
        <v>523</v>
      </c>
      <c r="C80" s="963">
        <f ca="1">IF(A80="","",SK!G79)</f>
        <v>2</v>
      </c>
      <c r="D80" s="965">
        <f ca="1">IF(A80="","",SK!H79)</f>
        <v>15</v>
      </c>
      <c r="E80" s="965">
        <f ca="1">IF(A80="","",SK!J79)</f>
        <v>14</v>
      </c>
      <c r="F80" s="965">
        <f ca="1">IF(A80="","",SK!K79)</f>
        <v>0</v>
      </c>
      <c r="G80" s="965" t="e">
        <f ca="1">IF(A80="","",SUM(SK!L79,SK!L80))</f>
        <v>#VALUE!</v>
      </c>
      <c r="H80" s="938">
        <f t="shared" ref="H80:Q80" si="0">IF(COUNT(H4:H79),SUM(H4:H79),"")</f>
        <v>55</v>
      </c>
      <c r="I80" s="940">
        <f t="shared" si="0"/>
        <v>19</v>
      </c>
      <c r="J80" s="940">
        <f t="shared" si="0"/>
        <v>1</v>
      </c>
      <c r="K80" s="940" t="str">
        <f t="shared" si="0"/>
        <v/>
      </c>
      <c r="L80" s="940" t="str">
        <f t="shared" si="0"/>
        <v/>
      </c>
      <c r="M80" s="940" t="str">
        <f t="shared" si="0"/>
        <v/>
      </c>
      <c r="N80" s="940" t="str">
        <f t="shared" si="0"/>
        <v/>
      </c>
      <c r="O80" s="940" t="str">
        <f t="shared" si="0"/>
        <v/>
      </c>
      <c r="P80" s="942" t="str">
        <f t="shared" si="0"/>
        <v/>
      </c>
      <c r="Q80" s="944">
        <f t="shared" si="0"/>
        <v>75</v>
      </c>
      <c r="R80" s="946">
        <f>IF(A80="","",MAX(R4:R79))</f>
        <v>75</v>
      </c>
      <c r="S80" s="955"/>
      <c r="T80" s="922">
        <f>IF(COUNT(T4:T79),COUNT(T4:T79),"")</f>
        <v>24</v>
      </c>
      <c r="U80" s="910" t="s">
        <v>523</v>
      </c>
      <c r="V80" s="912">
        <f ca="1">IF(T80="","",SK!W79)</f>
        <v>4</v>
      </c>
      <c r="W80" s="914">
        <f ca="1">IF(T80="","",SK!X79)</f>
        <v>8</v>
      </c>
      <c r="X80" s="914">
        <f ca="1">IF(T80="","",SK!Z79)</f>
        <v>8</v>
      </c>
      <c r="Y80" s="914">
        <f ca="1">IF(T80="","",SK!AA79)</f>
        <v>0</v>
      </c>
      <c r="Z80" s="934" t="e">
        <f ca="1">IF(T80="","",SUM(SK!AB79,SK!AB80))</f>
        <v>#VALUE!</v>
      </c>
      <c r="AA80" s="936">
        <f t="shared" ref="AA80:AJ80" si="1">IF(COUNT(AA4:AA79),SUM(AA4:AA79),"")</f>
        <v>26</v>
      </c>
      <c r="AB80" s="925">
        <f t="shared" si="1"/>
        <v>5</v>
      </c>
      <c r="AC80" s="925" t="str">
        <f t="shared" si="1"/>
        <v/>
      </c>
      <c r="AD80" s="925" t="str">
        <f t="shared" si="1"/>
        <v/>
      </c>
      <c r="AE80" s="925" t="str">
        <f t="shared" si="1"/>
        <v/>
      </c>
      <c r="AF80" s="925" t="str">
        <f t="shared" si="1"/>
        <v/>
      </c>
      <c r="AG80" s="925" t="str">
        <f t="shared" si="1"/>
        <v/>
      </c>
      <c r="AH80" s="925" t="str">
        <f t="shared" si="1"/>
        <v/>
      </c>
      <c r="AI80" s="987" t="str">
        <f t="shared" si="1"/>
        <v/>
      </c>
      <c r="AJ80" s="927">
        <f t="shared" si="1"/>
        <v>31</v>
      </c>
      <c r="AK80" s="922">
        <f>IF(T80="","",MAX(AK4:AK79))</f>
        <v>31</v>
      </c>
      <c r="AL80" s="924"/>
    </row>
    <row r="81" spans="1:39" s="23" customFormat="1" ht="14.25" customHeight="1" thickBot="1">
      <c r="A81" s="961"/>
      <c r="B81" s="911"/>
      <c r="C81" s="964"/>
      <c r="D81" s="915"/>
      <c r="E81" s="915"/>
      <c r="F81" s="915"/>
      <c r="G81" s="915"/>
      <c r="H81" s="939"/>
      <c r="I81" s="941"/>
      <c r="J81" s="941"/>
      <c r="K81" s="941"/>
      <c r="L81" s="941"/>
      <c r="M81" s="941"/>
      <c r="N81" s="941"/>
      <c r="O81" s="941"/>
      <c r="P81" s="943"/>
      <c r="Q81" s="945"/>
      <c r="R81" s="947"/>
      <c r="S81" s="955"/>
      <c r="T81" s="923"/>
      <c r="U81" s="911"/>
      <c r="V81" s="913"/>
      <c r="W81" s="915"/>
      <c r="X81" s="915"/>
      <c r="Y81" s="915"/>
      <c r="Z81" s="935"/>
      <c r="AA81" s="937"/>
      <c r="AB81" s="926"/>
      <c r="AC81" s="926"/>
      <c r="AD81" s="926"/>
      <c r="AE81" s="926"/>
      <c r="AF81" s="926"/>
      <c r="AG81" s="926"/>
      <c r="AH81" s="926"/>
      <c r="AI81" s="988"/>
      <c r="AJ81" s="928"/>
      <c r="AK81" s="923"/>
      <c r="AL81" s="924"/>
    </row>
    <row r="82" spans="1:39" ht="12" customHeight="1">
      <c r="A82" s="956" t="s">
        <v>474</v>
      </c>
      <c r="B82" s="957"/>
      <c r="C82" s="957"/>
      <c r="D82" s="957"/>
      <c r="E82" s="957"/>
      <c r="F82" s="957"/>
      <c r="G82" s="957"/>
      <c r="H82" s="957"/>
      <c r="I82" s="957"/>
      <c r="J82" s="957"/>
      <c r="K82" s="957"/>
      <c r="L82" s="957"/>
      <c r="M82" s="957"/>
      <c r="N82" s="957"/>
      <c r="O82" s="957"/>
      <c r="P82" s="957"/>
      <c r="Q82" s="957"/>
      <c r="R82" s="958"/>
      <c r="S82" s="24"/>
      <c r="T82" s="956" t="s">
        <v>474</v>
      </c>
      <c r="U82" s="957"/>
      <c r="V82" s="957"/>
      <c r="W82" s="957"/>
      <c r="X82" s="957"/>
      <c r="Y82" s="957"/>
      <c r="Z82" s="957"/>
      <c r="AA82" s="957"/>
      <c r="AB82" s="957"/>
      <c r="AC82" s="957"/>
      <c r="AD82" s="957"/>
      <c r="AE82" s="957"/>
      <c r="AF82" s="957"/>
      <c r="AG82" s="957"/>
      <c r="AH82" s="957"/>
      <c r="AI82" s="957"/>
      <c r="AJ82" s="957"/>
      <c r="AK82" s="958"/>
      <c r="AL82" s="25"/>
      <c r="AM82" s="25"/>
    </row>
    <row r="83" spans="1:39" ht="12" customHeight="1">
      <c r="A83" s="931" t="s">
        <v>475</v>
      </c>
      <c r="B83" s="932"/>
      <c r="C83" s="932"/>
      <c r="D83" s="932"/>
      <c r="E83" s="932"/>
      <c r="F83" s="932"/>
      <c r="G83" s="932"/>
      <c r="H83" s="932"/>
      <c r="I83" s="932"/>
      <c r="J83" s="932"/>
      <c r="K83" s="932"/>
      <c r="L83" s="932"/>
      <c r="M83" s="932"/>
      <c r="N83" s="932"/>
      <c r="O83" s="932"/>
      <c r="P83" s="932"/>
      <c r="Q83" s="932"/>
      <c r="R83" s="933"/>
      <c r="S83" s="24"/>
      <c r="T83" s="931" t="s">
        <v>475</v>
      </c>
      <c r="U83" s="932"/>
      <c r="V83" s="932"/>
      <c r="W83" s="932"/>
      <c r="X83" s="932"/>
      <c r="Y83" s="932"/>
      <c r="Z83" s="932"/>
      <c r="AA83" s="932"/>
      <c r="AB83" s="932"/>
      <c r="AC83" s="932"/>
      <c r="AD83" s="932"/>
      <c r="AE83" s="932"/>
      <c r="AF83" s="932"/>
      <c r="AG83" s="932"/>
      <c r="AH83" s="932"/>
      <c r="AI83" s="932"/>
      <c r="AJ83" s="932"/>
      <c r="AK83" s="933"/>
      <c r="AL83" s="25"/>
      <c r="AM83" s="25"/>
    </row>
    <row r="84" spans="1:39" ht="12" customHeight="1">
      <c r="A84" s="931" t="s">
        <v>476</v>
      </c>
      <c r="B84" s="932"/>
      <c r="C84" s="932"/>
      <c r="D84" s="932"/>
      <c r="E84" s="932"/>
      <c r="F84" s="932"/>
      <c r="G84" s="932"/>
      <c r="H84" s="932"/>
      <c r="I84" s="932"/>
      <c r="J84" s="932"/>
      <c r="K84" s="932"/>
      <c r="L84" s="932"/>
      <c r="M84" s="932"/>
      <c r="N84" s="932"/>
      <c r="O84" s="932"/>
      <c r="P84" s="932"/>
      <c r="Q84" s="932"/>
      <c r="R84" s="933"/>
      <c r="S84" s="24"/>
      <c r="T84" s="931" t="s">
        <v>476</v>
      </c>
      <c r="U84" s="932"/>
      <c r="V84" s="932"/>
      <c r="W84" s="932"/>
      <c r="X84" s="932"/>
      <c r="Y84" s="932"/>
      <c r="Z84" s="932"/>
      <c r="AA84" s="932"/>
      <c r="AB84" s="932"/>
      <c r="AC84" s="932"/>
      <c r="AD84" s="932"/>
      <c r="AE84" s="932"/>
      <c r="AF84" s="932"/>
      <c r="AG84" s="932"/>
      <c r="AH84" s="932"/>
      <c r="AI84" s="932"/>
      <c r="AJ84" s="932"/>
      <c r="AK84" s="933"/>
      <c r="AL84" s="25"/>
      <c r="AM84" s="25"/>
    </row>
    <row r="85" spans="1:39" ht="12" customHeight="1">
      <c r="A85" s="931" t="s">
        <v>709</v>
      </c>
      <c r="B85" s="932"/>
      <c r="C85" s="932"/>
      <c r="D85" s="932"/>
      <c r="E85" s="932"/>
      <c r="F85" s="932"/>
      <c r="G85" s="932"/>
      <c r="H85" s="932"/>
      <c r="I85" s="932"/>
      <c r="J85" s="932"/>
      <c r="K85" s="932"/>
      <c r="L85" s="932"/>
      <c r="M85" s="932"/>
      <c r="N85" s="932"/>
      <c r="O85" s="932"/>
      <c r="P85" s="932"/>
      <c r="Q85" s="932"/>
      <c r="R85" s="933"/>
      <c r="S85" s="26"/>
      <c r="T85" s="931" t="s">
        <v>709</v>
      </c>
      <c r="U85" s="932"/>
      <c r="V85" s="932"/>
      <c r="W85" s="932"/>
      <c r="X85" s="932"/>
      <c r="Y85" s="932"/>
      <c r="Z85" s="932"/>
      <c r="AA85" s="932"/>
      <c r="AB85" s="932"/>
      <c r="AC85" s="932"/>
      <c r="AD85" s="932"/>
      <c r="AE85" s="932"/>
      <c r="AF85" s="932"/>
      <c r="AG85" s="932"/>
      <c r="AH85" s="932"/>
      <c r="AI85" s="932"/>
      <c r="AJ85" s="932"/>
      <c r="AK85" s="933"/>
      <c r="AL85" s="25"/>
      <c r="AM85" s="25"/>
    </row>
    <row r="86" spans="1:39" ht="12" customHeight="1" thickBot="1">
      <c r="A86" s="948" t="s">
        <v>575</v>
      </c>
      <c r="B86" s="949"/>
      <c r="C86" s="949"/>
      <c r="D86" s="949"/>
      <c r="E86" s="949"/>
      <c r="F86" s="949"/>
      <c r="G86" s="949"/>
      <c r="H86" s="949"/>
      <c r="I86" s="949"/>
      <c r="J86" s="949"/>
      <c r="K86" s="949"/>
      <c r="L86" s="949"/>
      <c r="M86" s="949"/>
      <c r="N86" s="949"/>
      <c r="O86" s="949"/>
      <c r="P86" s="949"/>
      <c r="Q86" s="949"/>
      <c r="R86" s="950"/>
      <c r="S86" s="27"/>
      <c r="T86" s="948" t="s">
        <v>575</v>
      </c>
      <c r="U86" s="949"/>
      <c r="V86" s="949"/>
      <c r="W86" s="949"/>
      <c r="X86" s="949"/>
      <c r="Y86" s="949"/>
      <c r="Z86" s="949"/>
      <c r="AA86" s="949"/>
      <c r="AB86" s="949"/>
      <c r="AC86" s="949"/>
      <c r="AD86" s="949"/>
      <c r="AE86" s="949"/>
      <c r="AF86" s="949"/>
      <c r="AG86" s="949"/>
      <c r="AH86" s="949"/>
      <c r="AI86" s="949"/>
      <c r="AJ86" s="949"/>
      <c r="AK86" s="950"/>
      <c r="AL86" s="25"/>
      <c r="AM86" s="25"/>
    </row>
    <row r="87" spans="1:39" ht="30" customHeight="1">
      <c r="A87" s="849" t="str">
        <f>A1</f>
        <v>Detroit Pistoffs</v>
      </c>
      <c r="B87" s="849"/>
      <c r="C87" s="849"/>
      <c r="D87" s="849"/>
      <c r="E87" s="849"/>
      <c r="F87" s="849"/>
      <c r="G87" s="849"/>
      <c r="H87" s="849"/>
      <c r="I87" s="951" t="str">
        <f>IF(ISBLANK(I1), "", I1)</f>
        <v>Blue</v>
      </c>
      <c r="J87" s="951"/>
      <c r="K87" s="508">
        <f ca="1">IF(ISBLANK(IBRF!$B$5), "", IBRF!$B$5)</f>
        <v>41377</v>
      </c>
      <c r="L87" s="839" t="s">
        <v>147</v>
      </c>
      <c r="M87" s="839"/>
      <c r="N87" s="839"/>
      <c r="O87" s="840" t="s">
        <v>64</v>
      </c>
      <c r="P87" s="840"/>
      <c r="Q87" s="840"/>
      <c r="R87" s="18">
        <v>2</v>
      </c>
      <c r="S87" s="19"/>
      <c r="T87" s="849" t="str">
        <f>T1</f>
        <v>Pistolwhippers</v>
      </c>
      <c r="U87" s="849"/>
      <c r="V87" s="849"/>
      <c r="W87" s="849"/>
      <c r="X87" s="849"/>
      <c r="Y87" s="849"/>
      <c r="Z87" s="849"/>
      <c r="AA87" s="849"/>
      <c r="AB87" s="951" t="str">
        <f>IF(ISBLANK(AB1), "", AB1)</f>
        <v>Red</v>
      </c>
      <c r="AC87" s="951"/>
      <c r="AD87" s="508">
        <f ca="1">IF(ISBLANK(IBRF!$B$5), "", IBRF!$B$5)</f>
        <v>41377</v>
      </c>
      <c r="AE87" s="839" t="s">
        <v>134</v>
      </c>
      <c r="AF87" s="839"/>
      <c r="AG87" s="839"/>
      <c r="AH87" s="840" t="s">
        <v>62</v>
      </c>
      <c r="AI87" s="840"/>
      <c r="AJ87" s="840"/>
      <c r="AK87" s="18">
        <v>2</v>
      </c>
    </row>
    <row r="88" spans="1:39" ht="15" customHeight="1" thickBot="1">
      <c r="A88" s="850"/>
      <c r="B88" s="850"/>
      <c r="C88" s="850"/>
      <c r="D88" s="850"/>
      <c r="E88" s="850"/>
      <c r="F88" s="850"/>
      <c r="G88" s="850"/>
      <c r="H88" s="850"/>
      <c r="I88" s="852" t="s">
        <v>472</v>
      </c>
      <c r="J88" s="852"/>
      <c r="K88" s="32" t="s">
        <v>577</v>
      </c>
      <c r="L88" s="853" t="s">
        <v>498</v>
      </c>
      <c r="M88" s="853"/>
      <c r="N88" s="853"/>
      <c r="O88" s="854" t="s">
        <v>576</v>
      </c>
      <c r="P88" s="854"/>
      <c r="Q88" s="854"/>
      <c r="R88" s="21" t="str">
        <f ca="1">IF(ISBLANK(IBRF!$K$3), "", "BOUT " &amp; IBRF!$K$3)</f>
        <v>BOUT 199</v>
      </c>
      <c r="S88" s="19"/>
      <c r="T88" s="850"/>
      <c r="U88" s="850"/>
      <c r="V88" s="850"/>
      <c r="W88" s="850"/>
      <c r="X88" s="850"/>
      <c r="Y88" s="850"/>
      <c r="Z88" s="850"/>
      <c r="AA88" s="850"/>
      <c r="AB88" s="852" t="s">
        <v>472</v>
      </c>
      <c r="AC88" s="852"/>
      <c r="AD88" s="32" t="s">
        <v>577</v>
      </c>
      <c r="AE88" s="853" t="s">
        <v>498</v>
      </c>
      <c r="AF88" s="853"/>
      <c r="AG88" s="853"/>
      <c r="AH88" s="854" t="s">
        <v>576</v>
      </c>
      <c r="AI88" s="854"/>
      <c r="AJ88" s="854"/>
      <c r="AK88" s="21" t="str">
        <f ca="1">IF(ISBLANK(IBRF!$K$3), "", "BOUT " &amp; IBRF!$K$3)</f>
        <v>BOUT 199</v>
      </c>
    </row>
    <row r="89" spans="1:39" ht="34.5" customHeight="1" thickBot="1">
      <c r="A89" s="598" t="s">
        <v>393</v>
      </c>
      <c r="B89" s="599" t="s">
        <v>394</v>
      </c>
      <c r="C89" s="600" t="s">
        <v>395</v>
      </c>
      <c r="D89" s="601" t="s">
        <v>396</v>
      </c>
      <c r="E89" s="601" t="s">
        <v>397</v>
      </c>
      <c r="F89" s="601" t="s">
        <v>398</v>
      </c>
      <c r="G89" s="602" t="s">
        <v>399</v>
      </c>
      <c r="H89" s="603" t="s">
        <v>400</v>
      </c>
      <c r="I89" s="604" t="s">
        <v>401</v>
      </c>
      <c r="J89" s="604" t="s">
        <v>402</v>
      </c>
      <c r="K89" s="604" t="s">
        <v>451</v>
      </c>
      <c r="L89" s="604" t="s">
        <v>452</v>
      </c>
      <c r="M89" s="604" t="s">
        <v>453</v>
      </c>
      <c r="N89" s="604" t="s">
        <v>454</v>
      </c>
      <c r="O89" s="604" t="s">
        <v>1</v>
      </c>
      <c r="P89" s="604" t="s">
        <v>2</v>
      </c>
      <c r="Q89" s="605" t="s">
        <v>455</v>
      </c>
      <c r="R89" s="28">
        <f>R80</f>
        <v>75</v>
      </c>
      <c r="S89" s="22" t="s">
        <v>522</v>
      </c>
      <c r="T89" s="598" t="s">
        <v>393</v>
      </c>
      <c r="U89" s="599" t="s">
        <v>394</v>
      </c>
      <c r="V89" s="600" t="s">
        <v>395</v>
      </c>
      <c r="W89" s="601" t="s">
        <v>396</v>
      </c>
      <c r="X89" s="601" t="s">
        <v>397</v>
      </c>
      <c r="Y89" s="601" t="s">
        <v>398</v>
      </c>
      <c r="Z89" s="602" t="s">
        <v>399</v>
      </c>
      <c r="AA89" s="603" t="s">
        <v>400</v>
      </c>
      <c r="AB89" s="604" t="s">
        <v>401</v>
      </c>
      <c r="AC89" s="604" t="s">
        <v>402</v>
      </c>
      <c r="AD89" s="604" t="s">
        <v>451</v>
      </c>
      <c r="AE89" s="604" t="s">
        <v>452</v>
      </c>
      <c r="AF89" s="604" t="s">
        <v>453</v>
      </c>
      <c r="AG89" s="604" t="s">
        <v>454</v>
      </c>
      <c r="AH89" s="604" t="s">
        <v>1</v>
      </c>
      <c r="AI89" s="604" t="s">
        <v>2</v>
      </c>
      <c r="AJ89" s="605" t="s">
        <v>455</v>
      </c>
      <c r="AK89" s="29">
        <f>AK80</f>
        <v>31</v>
      </c>
      <c r="AL89" s="30" t="s">
        <v>522</v>
      </c>
    </row>
    <row r="90" spans="1:39" ht="16.5" customHeight="1" thickBot="1">
      <c r="A90" s="877">
        <v>1</v>
      </c>
      <c r="B90" s="882" t="s">
        <v>223</v>
      </c>
      <c r="C90" s="877"/>
      <c r="D90" s="874"/>
      <c r="E90" s="874"/>
      <c r="F90" s="874"/>
      <c r="G90" s="875"/>
      <c r="H90" s="876">
        <v>0</v>
      </c>
      <c r="I90" s="866"/>
      <c r="J90" s="866"/>
      <c r="K90" s="866"/>
      <c r="L90" s="866"/>
      <c r="M90" s="866"/>
      <c r="N90" s="866"/>
      <c r="O90" s="866"/>
      <c r="P90" s="879"/>
      <c r="Q90" s="880">
        <f>IF(ISBLANK(A90),"",IF(ISBLANK(G90),SUM(H90:P91),0))</f>
        <v>0</v>
      </c>
      <c r="R90" s="872">
        <f>IF(Q90="","",Q90+R89)</f>
        <v>75</v>
      </c>
      <c r="S90" s="868">
        <f>IF(G90="X",0,COUNT(H90:P91))</f>
        <v>1</v>
      </c>
      <c r="T90" s="930">
        <v>1</v>
      </c>
      <c r="U90" s="882" t="s">
        <v>241</v>
      </c>
      <c r="V90" s="877"/>
      <c r="W90" s="874" t="s">
        <v>531</v>
      </c>
      <c r="X90" s="874" t="s">
        <v>531</v>
      </c>
      <c r="Y90" s="874"/>
      <c r="Z90" s="875"/>
      <c r="AA90" s="876">
        <v>0</v>
      </c>
      <c r="AB90" s="866"/>
      <c r="AC90" s="866"/>
      <c r="AD90" s="866"/>
      <c r="AE90" s="866"/>
      <c r="AF90" s="866"/>
      <c r="AG90" s="866"/>
      <c r="AH90" s="866"/>
      <c r="AI90" s="879"/>
      <c r="AJ90" s="880">
        <f>IF(ISBLANK(T90),"",IF(ISBLANK(Z90),SUM(AA90:AI91),0))</f>
        <v>0</v>
      </c>
      <c r="AK90" s="929">
        <f>IF(AJ90="","",AJ90+AK89)</f>
        <v>31</v>
      </c>
      <c r="AL90" s="868">
        <f>IF(Z90="X",0,COUNT(AA90:AI91))</f>
        <v>1</v>
      </c>
    </row>
    <row r="91" spans="1:39" ht="16.5" customHeight="1">
      <c r="A91" s="877"/>
      <c r="B91" s="882"/>
      <c r="C91" s="877"/>
      <c r="D91" s="874"/>
      <c r="E91" s="874"/>
      <c r="F91" s="874"/>
      <c r="G91" s="875"/>
      <c r="H91" s="876"/>
      <c r="I91" s="866"/>
      <c r="J91" s="866"/>
      <c r="K91" s="866"/>
      <c r="L91" s="866"/>
      <c r="M91" s="866"/>
      <c r="N91" s="866"/>
      <c r="O91" s="866"/>
      <c r="P91" s="879"/>
      <c r="Q91" s="880"/>
      <c r="R91" s="872"/>
      <c r="S91" s="868"/>
      <c r="T91" s="930"/>
      <c r="U91" s="882"/>
      <c r="V91" s="877"/>
      <c r="W91" s="874"/>
      <c r="X91" s="874"/>
      <c r="Y91" s="874"/>
      <c r="Z91" s="875"/>
      <c r="AA91" s="876"/>
      <c r="AB91" s="866"/>
      <c r="AC91" s="866"/>
      <c r="AD91" s="866"/>
      <c r="AE91" s="866"/>
      <c r="AF91" s="866"/>
      <c r="AG91" s="866"/>
      <c r="AH91" s="866"/>
      <c r="AI91" s="879"/>
      <c r="AJ91" s="880"/>
      <c r="AK91" s="872"/>
      <c r="AL91" s="868"/>
    </row>
    <row r="92" spans="1:39" ht="16.5" customHeight="1">
      <c r="A92" s="855">
        <v>2</v>
      </c>
      <c r="B92" s="881" t="s">
        <v>59</v>
      </c>
      <c r="C92" s="855"/>
      <c r="D92" s="858" t="s">
        <v>531</v>
      </c>
      <c r="E92" s="858" t="s">
        <v>531</v>
      </c>
      <c r="F92" s="858"/>
      <c r="G92" s="860"/>
      <c r="H92" s="861">
        <v>0</v>
      </c>
      <c r="I92" s="857"/>
      <c r="J92" s="857"/>
      <c r="K92" s="857"/>
      <c r="L92" s="857"/>
      <c r="M92" s="857"/>
      <c r="N92" s="857"/>
      <c r="O92" s="857"/>
      <c r="P92" s="883"/>
      <c r="Q92" s="873">
        <f>IF(ISBLANK(A92),"",IF(ISBLANK(G92),SUM(H92:P93),0))</f>
        <v>0</v>
      </c>
      <c r="R92" s="872">
        <f>IF(Q92="","",Q92+R90)</f>
        <v>75</v>
      </c>
      <c r="S92" s="868">
        <f>IF(G92="X",0,COUNT(H92:P93))</f>
        <v>1</v>
      </c>
      <c r="T92" s="952">
        <v>2</v>
      </c>
      <c r="U92" s="881" t="s">
        <v>239</v>
      </c>
      <c r="V92" s="855"/>
      <c r="W92" s="858"/>
      <c r="X92" s="858"/>
      <c r="Y92" s="858"/>
      <c r="Z92" s="860"/>
      <c r="AA92" s="861">
        <v>0</v>
      </c>
      <c r="AB92" s="857"/>
      <c r="AC92" s="857"/>
      <c r="AD92" s="857"/>
      <c r="AE92" s="857"/>
      <c r="AF92" s="857"/>
      <c r="AG92" s="857"/>
      <c r="AH92" s="857"/>
      <c r="AI92" s="883"/>
      <c r="AJ92" s="873">
        <f>IF(ISBLANK(T92),"",IF(ISBLANK(Z92),SUM(AA92:AI93),0))</f>
        <v>0</v>
      </c>
      <c r="AK92" s="872">
        <f>IF(AJ92="","",AJ92+AK90)</f>
        <v>31</v>
      </c>
      <c r="AL92" s="868">
        <f>IF(Z92="X",0,COUNT(AA92:AI93))</f>
        <v>1</v>
      </c>
    </row>
    <row r="93" spans="1:39" ht="16.5" customHeight="1">
      <c r="A93" s="959"/>
      <c r="B93" s="881"/>
      <c r="C93" s="855"/>
      <c r="D93" s="858"/>
      <c r="E93" s="858"/>
      <c r="F93" s="858"/>
      <c r="G93" s="860"/>
      <c r="H93" s="861"/>
      <c r="I93" s="857"/>
      <c r="J93" s="857"/>
      <c r="K93" s="857"/>
      <c r="L93" s="857"/>
      <c r="M93" s="857"/>
      <c r="N93" s="857"/>
      <c r="O93" s="857"/>
      <c r="P93" s="883"/>
      <c r="Q93" s="884"/>
      <c r="R93" s="872"/>
      <c r="S93" s="868"/>
      <c r="T93" s="952"/>
      <c r="U93" s="881"/>
      <c r="V93" s="855"/>
      <c r="W93" s="858"/>
      <c r="X93" s="858"/>
      <c r="Y93" s="858"/>
      <c r="Z93" s="860"/>
      <c r="AA93" s="861"/>
      <c r="AB93" s="857"/>
      <c r="AC93" s="857"/>
      <c r="AD93" s="857"/>
      <c r="AE93" s="857"/>
      <c r="AF93" s="857"/>
      <c r="AG93" s="857"/>
      <c r="AH93" s="857"/>
      <c r="AI93" s="883"/>
      <c r="AJ93" s="884"/>
      <c r="AK93" s="872"/>
      <c r="AL93" s="868"/>
    </row>
    <row r="94" spans="1:39" ht="16.5" customHeight="1" thickBot="1">
      <c r="A94" s="865">
        <v>3</v>
      </c>
      <c r="B94" s="967" t="s">
        <v>221</v>
      </c>
      <c r="C94" s="861" t="s">
        <v>531</v>
      </c>
      <c r="D94" s="857" t="s">
        <v>531</v>
      </c>
      <c r="E94" s="857"/>
      <c r="F94" s="857"/>
      <c r="G94" s="891"/>
      <c r="H94" s="892">
        <v>3</v>
      </c>
      <c r="I94" s="867"/>
      <c r="J94" s="867"/>
      <c r="K94" s="867"/>
      <c r="L94" s="867"/>
      <c r="M94" s="867"/>
      <c r="N94" s="867"/>
      <c r="O94" s="867"/>
      <c r="P94" s="889"/>
      <c r="Q94" s="887">
        <f>IF(ISBLANK(A94),"",IF(ISBLANK(G94),SUM(H94:P95),0))</f>
        <v>3</v>
      </c>
      <c r="R94" s="872">
        <f>IF(Q94="","",Q94+R92)</f>
        <v>78</v>
      </c>
      <c r="S94" s="868">
        <f>IF(G94="X",0,COUNT(H94:P95))</f>
        <v>1</v>
      </c>
      <c r="T94" s="968">
        <v>3</v>
      </c>
      <c r="U94" s="967" t="s">
        <v>76</v>
      </c>
      <c r="V94" s="861"/>
      <c r="W94" s="857"/>
      <c r="X94" s="857"/>
      <c r="Y94" s="857"/>
      <c r="Z94" s="891"/>
      <c r="AA94" s="892">
        <v>5</v>
      </c>
      <c r="AB94" s="867">
        <v>5</v>
      </c>
      <c r="AC94" s="867"/>
      <c r="AD94" s="867"/>
      <c r="AE94" s="867"/>
      <c r="AF94" s="867"/>
      <c r="AG94" s="867"/>
      <c r="AH94" s="867"/>
      <c r="AI94" s="889"/>
      <c r="AJ94" s="888">
        <f>IF(ISBLANK(T94),"",IF(ISBLANK(Z94),SUM(AA94:AI95),0))</f>
        <v>10</v>
      </c>
      <c r="AK94" s="872">
        <f>IF(AJ94="","",AJ94+AK92)</f>
        <v>41</v>
      </c>
      <c r="AL94" s="868">
        <f>IF(Z94="X",0,COUNT(AA94:AI95))</f>
        <v>2</v>
      </c>
    </row>
    <row r="95" spans="1:39" ht="16.5" customHeight="1">
      <c r="A95" s="877"/>
      <c r="B95" s="967"/>
      <c r="C95" s="861"/>
      <c r="D95" s="857"/>
      <c r="E95" s="857"/>
      <c r="F95" s="857"/>
      <c r="G95" s="891"/>
      <c r="H95" s="892"/>
      <c r="I95" s="867"/>
      <c r="J95" s="867"/>
      <c r="K95" s="867"/>
      <c r="L95" s="867"/>
      <c r="M95" s="867"/>
      <c r="N95" s="867"/>
      <c r="O95" s="867"/>
      <c r="P95" s="889"/>
      <c r="Q95" s="888"/>
      <c r="R95" s="872"/>
      <c r="S95" s="868"/>
      <c r="T95" s="968"/>
      <c r="U95" s="967"/>
      <c r="V95" s="861"/>
      <c r="W95" s="857"/>
      <c r="X95" s="857"/>
      <c r="Y95" s="857"/>
      <c r="Z95" s="891"/>
      <c r="AA95" s="892"/>
      <c r="AB95" s="867"/>
      <c r="AC95" s="867"/>
      <c r="AD95" s="867"/>
      <c r="AE95" s="867"/>
      <c r="AF95" s="867"/>
      <c r="AG95" s="867"/>
      <c r="AH95" s="867"/>
      <c r="AI95" s="889"/>
      <c r="AJ95" s="880"/>
      <c r="AK95" s="872"/>
      <c r="AL95" s="868"/>
    </row>
    <row r="96" spans="1:39" ht="16.5" customHeight="1">
      <c r="A96" s="855">
        <v>4</v>
      </c>
      <c r="B96" s="881" t="s">
        <v>221</v>
      </c>
      <c r="C96" s="855"/>
      <c r="D96" s="858"/>
      <c r="E96" s="858"/>
      <c r="F96" s="858"/>
      <c r="G96" s="860"/>
      <c r="H96" s="861">
        <v>0</v>
      </c>
      <c r="I96" s="857"/>
      <c r="J96" s="857"/>
      <c r="K96" s="857"/>
      <c r="L96" s="857"/>
      <c r="M96" s="857"/>
      <c r="N96" s="857"/>
      <c r="O96" s="857"/>
      <c r="P96" s="883"/>
      <c r="Q96" s="901">
        <f>IF(ISBLANK(A96),"",IF(ISBLANK(G96),SUM(H96:P97),0))</f>
        <v>0</v>
      </c>
      <c r="R96" s="872">
        <f>IF(Q96="","",Q96+R94)</f>
        <v>78</v>
      </c>
      <c r="S96" s="868">
        <f>IF(G96="X",0,COUNT(H96:P97))</f>
        <v>1</v>
      </c>
      <c r="T96" s="952">
        <v>4</v>
      </c>
      <c r="U96" s="881" t="s">
        <v>241</v>
      </c>
      <c r="V96" s="855"/>
      <c r="W96" s="858" t="s">
        <v>531</v>
      </c>
      <c r="X96" s="858" t="s">
        <v>531</v>
      </c>
      <c r="Y96" s="858"/>
      <c r="Z96" s="860"/>
      <c r="AA96" s="861">
        <v>4</v>
      </c>
      <c r="AB96" s="857"/>
      <c r="AC96" s="857"/>
      <c r="AD96" s="857"/>
      <c r="AE96" s="857"/>
      <c r="AF96" s="857"/>
      <c r="AG96" s="857"/>
      <c r="AH96" s="857"/>
      <c r="AI96" s="883"/>
      <c r="AJ96" s="873">
        <f>IF(ISBLANK(T96),"",IF(ISBLANK(Z96),SUM(AA96:AI97),0))</f>
        <v>4</v>
      </c>
      <c r="AK96" s="872">
        <f>IF(AJ96="","",AJ96+AK94)</f>
        <v>45</v>
      </c>
      <c r="AL96" s="868">
        <f>IF(Z96="X",0,COUNT(AA96:AI97))</f>
        <v>1</v>
      </c>
    </row>
    <row r="97" spans="1:38" ht="16.5" customHeight="1">
      <c r="A97" s="959"/>
      <c r="B97" s="881"/>
      <c r="C97" s="855"/>
      <c r="D97" s="858"/>
      <c r="E97" s="858"/>
      <c r="F97" s="858"/>
      <c r="G97" s="860"/>
      <c r="H97" s="861"/>
      <c r="I97" s="857"/>
      <c r="J97" s="857"/>
      <c r="K97" s="857"/>
      <c r="L97" s="857"/>
      <c r="M97" s="857"/>
      <c r="N97" s="857"/>
      <c r="O97" s="857"/>
      <c r="P97" s="883"/>
      <c r="Q97" s="902"/>
      <c r="R97" s="872"/>
      <c r="S97" s="868"/>
      <c r="T97" s="952"/>
      <c r="U97" s="881"/>
      <c r="V97" s="855"/>
      <c r="W97" s="858"/>
      <c r="X97" s="858"/>
      <c r="Y97" s="858"/>
      <c r="Z97" s="860"/>
      <c r="AA97" s="861"/>
      <c r="AB97" s="857"/>
      <c r="AC97" s="857"/>
      <c r="AD97" s="857"/>
      <c r="AE97" s="857"/>
      <c r="AF97" s="857"/>
      <c r="AG97" s="857"/>
      <c r="AH97" s="857"/>
      <c r="AI97" s="883"/>
      <c r="AJ97" s="884"/>
      <c r="AK97" s="872"/>
      <c r="AL97" s="868"/>
    </row>
    <row r="98" spans="1:38" ht="16.5" customHeight="1" thickBot="1">
      <c r="A98" s="865">
        <v>5</v>
      </c>
      <c r="B98" s="967" t="s">
        <v>223</v>
      </c>
      <c r="C98" s="861"/>
      <c r="D98" s="857"/>
      <c r="E98" s="857"/>
      <c r="F98" s="857"/>
      <c r="G98" s="891"/>
      <c r="H98" s="892">
        <v>0</v>
      </c>
      <c r="I98" s="867"/>
      <c r="J98" s="867"/>
      <c r="K98" s="867"/>
      <c r="L98" s="867"/>
      <c r="M98" s="867"/>
      <c r="N98" s="867"/>
      <c r="O98" s="867"/>
      <c r="P98" s="889"/>
      <c r="Q98" s="887">
        <f>IF(ISBLANK(A98),"",IF(ISBLANK(G98),SUM(H98:P99),0))</f>
        <v>0</v>
      </c>
      <c r="R98" s="872">
        <f>IF(Q98="","",Q98+R96)</f>
        <v>78</v>
      </c>
      <c r="S98" s="868">
        <f>IF(G98="X",0,COUNT(H98:P99))</f>
        <v>1</v>
      </c>
      <c r="T98" s="968">
        <v>5</v>
      </c>
      <c r="U98" s="967" t="s">
        <v>239</v>
      </c>
      <c r="V98" s="861"/>
      <c r="W98" s="857" t="s">
        <v>531</v>
      </c>
      <c r="X98" s="857" t="s">
        <v>531</v>
      </c>
      <c r="Y98" s="857"/>
      <c r="Z98" s="891"/>
      <c r="AA98" s="892">
        <v>3</v>
      </c>
      <c r="AB98" s="867"/>
      <c r="AC98" s="867"/>
      <c r="AD98" s="867"/>
      <c r="AE98" s="867"/>
      <c r="AF98" s="867"/>
      <c r="AG98" s="867"/>
      <c r="AH98" s="867"/>
      <c r="AI98" s="889"/>
      <c r="AJ98" s="888">
        <f>IF(ISBLANK(T98),"",IF(ISBLANK(Z98),SUM(AA98:AI99),0))</f>
        <v>3</v>
      </c>
      <c r="AK98" s="872">
        <f>IF(AJ98="","",AJ98+AK96)</f>
        <v>48</v>
      </c>
      <c r="AL98" s="868">
        <f>IF(Z98="X",0,COUNT(AA98:AI99))</f>
        <v>1</v>
      </c>
    </row>
    <row r="99" spans="1:38" ht="16.5" customHeight="1">
      <c r="A99" s="877"/>
      <c r="B99" s="967"/>
      <c r="C99" s="861"/>
      <c r="D99" s="857"/>
      <c r="E99" s="857"/>
      <c r="F99" s="857"/>
      <c r="G99" s="891"/>
      <c r="H99" s="892"/>
      <c r="I99" s="867"/>
      <c r="J99" s="867"/>
      <c r="K99" s="867"/>
      <c r="L99" s="867"/>
      <c r="M99" s="867"/>
      <c r="N99" s="867"/>
      <c r="O99" s="867"/>
      <c r="P99" s="889"/>
      <c r="Q99" s="888"/>
      <c r="R99" s="872"/>
      <c r="S99" s="868"/>
      <c r="T99" s="968"/>
      <c r="U99" s="967"/>
      <c r="V99" s="861"/>
      <c r="W99" s="857"/>
      <c r="X99" s="857"/>
      <c r="Y99" s="857"/>
      <c r="Z99" s="891"/>
      <c r="AA99" s="892"/>
      <c r="AB99" s="867"/>
      <c r="AC99" s="867"/>
      <c r="AD99" s="867"/>
      <c r="AE99" s="867"/>
      <c r="AF99" s="867"/>
      <c r="AG99" s="867"/>
      <c r="AH99" s="867"/>
      <c r="AI99" s="889"/>
      <c r="AJ99" s="880"/>
      <c r="AK99" s="872"/>
      <c r="AL99" s="868"/>
    </row>
    <row r="100" spans="1:38" ht="16.5" customHeight="1">
      <c r="A100" s="855">
        <v>6</v>
      </c>
      <c r="B100" s="881" t="s">
        <v>59</v>
      </c>
      <c r="C100" s="855"/>
      <c r="D100" s="858"/>
      <c r="E100" s="858"/>
      <c r="F100" s="858"/>
      <c r="G100" s="860"/>
      <c r="H100" s="861">
        <v>0</v>
      </c>
      <c r="I100" s="857"/>
      <c r="J100" s="857"/>
      <c r="K100" s="857"/>
      <c r="L100" s="857"/>
      <c r="M100" s="857"/>
      <c r="N100" s="857"/>
      <c r="O100" s="857"/>
      <c r="P100" s="883"/>
      <c r="Q100" s="901">
        <f>IF(ISBLANK(A100),"",IF(ISBLANK(G100),SUM(H100:P101),0))</f>
        <v>0</v>
      </c>
      <c r="R100" s="872">
        <f>IF(Q100="","",Q100+R98)</f>
        <v>78</v>
      </c>
      <c r="S100" s="868">
        <f>IF(G100="X",0,COUNT(H100:P101))</f>
        <v>1</v>
      </c>
      <c r="T100" s="952">
        <v>6</v>
      </c>
      <c r="U100" s="881" t="s">
        <v>76</v>
      </c>
      <c r="V100" s="855"/>
      <c r="W100" s="858" t="s">
        <v>531</v>
      </c>
      <c r="X100" s="858" t="s">
        <v>531</v>
      </c>
      <c r="Y100" s="858"/>
      <c r="Z100" s="860"/>
      <c r="AA100" s="861">
        <v>3</v>
      </c>
      <c r="AB100" s="857"/>
      <c r="AC100" s="857"/>
      <c r="AD100" s="857"/>
      <c r="AE100" s="857"/>
      <c r="AF100" s="857"/>
      <c r="AG100" s="857"/>
      <c r="AH100" s="857"/>
      <c r="AI100" s="883"/>
      <c r="AJ100" s="873">
        <f>IF(ISBLANK(T100),"",IF(ISBLANK(Z100),SUM(AA100:AI101),0))</f>
        <v>3</v>
      </c>
      <c r="AK100" s="872">
        <f>IF(AJ100="","",AJ100+AK98)</f>
        <v>51</v>
      </c>
      <c r="AL100" s="868">
        <f>IF(Z100="X",0,COUNT(AA100:AI101))</f>
        <v>1</v>
      </c>
    </row>
    <row r="101" spans="1:38" ht="16.5" customHeight="1">
      <c r="A101" s="959"/>
      <c r="B101" s="881"/>
      <c r="C101" s="855"/>
      <c r="D101" s="858"/>
      <c r="E101" s="858"/>
      <c r="F101" s="858"/>
      <c r="G101" s="860"/>
      <c r="H101" s="861"/>
      <c r="I101" s="857"/>
      <c r="J101" s="857"/>
      <c r="K101" s="857"/>
      <c r="L101" s="857"/>
      <c r="M101" s="857"/>
      <c r="N101" s="857"/>
      <c r="O101" s="857"/>
      <c r="P101" s="883"/>
      <c r="Q101" s="902"/>
      <c r="R101" s="872"/>
      <c r="S101" s="868"/>
      <c r="T101" s="952"/>
      <c r="U101" s="881"/>
      <c r="V101" s="855"/>
      <c r="W101" s="858"/>
      <c r="X101" s="858"/>
      <c r="Y101" s="858"/>
      <c r="Z101" s="860"/>
      <c r="AA101" s="861"/>
      <c r="AB101" s="857"/>
      <c r="AC101" s="857"/>
      <c r="AD101" s="857"/>
      <c r="AE101" s="857"/>
      <c r="AF101" s="857"/>
      <c r="AG101" s="857"/>
      <c r="AH101" s="857"/>
      <c r="AI101" s="883"/>
      <c r="AJ101" s="884"/>
      <c r="AK101" s="872"/>
      <c r="AL101" s="868"/>
    </row>
    <row r="102" spans="1:38" ht="16.5" customHeight="1" thickBot="1">
      <c r="A102" s="865">
        <v>7</v>
      </c>
      <c r="B102" s="967" t="s">
        <v>223</v>
      </c>
      <c r="C102" s="861"/>
      <c r="D102" s="857" t="s">
        <v>531</v>
      </c>
      <c r="E102" s="857" t="s">
        <v>531</v>
      </c>
      <c r="F102" s="857"/>
      <c r="G102" s="891"/>
      <c r="H102" s="892">
        <v>3</v>
      </c>
      <c r="I102" s="867"/>
      <c r="J102" s="867"/>
      <c r="K102" s="867"/>
      <c r="L102" s="867"/>
      <c r="M102" s="867"/>
      <c r="N102" s="867"/>
      <c r="O102" s="867"/>
      <c r="P102" s="889"/>
      <c r="Q102" s="887">
        <f>IF(ISBLANK(A102),"",IF(ISBLANK(G102),SUM(H102:P103),0))</f>
        <v>3</v>
      </c>
      <c r="R102" s="872">
        <f>IF(Q102="","",Q102+R100)</f>
        <v>81</v>
      </c>
      <c r="S102" s="868">
        <f>IF(G102="X",0,COUNT(H102:P103))</f>
        <v>1</v>
      </c>
      <c r="T102" s="968">
        <v>7</v>
      </c>
      <c r="U102" s="967" t="s">
        <v>241</v>
      </c>
      <c r="V102" s="861"/>
      <c r="W102" s="857"/>
      <c r="X102" s="857"/>
      <c r="Y102" s="857"/>
      <c r="Z102" s="891"/>
      <c r="AA102" s="892">
        <v>2</v>
      </c>
      <c r="AB102" s="867"/>
      <c r="AC102" s="867"/>
      <c r="AD102" s="867"/>
      <c r="AE102" s="867"/>
      <c r="AF102" s="867"/>
      <c r="AG102" s="867"/>
      <c r="AH102" s="867"/>
      <c r="AI102" s="889"/>
      <c r="AJ102" s="888">
        <f>IF(ISBLANK(T102),"",IF(ISBLANK(Z102),SUM(AA102:AI103),0))</f>
        <v>2</v>
      </c>
      <c r="AK102" s="872">
        <f>IF(AJ102="","",AJ102+AK100)</f>
        <v>53</v>
      </c>
      <c r="AL102" s="868">
        <f>IF(Z102="X",0,COUNT(AA102:AI103))</f>
        <v>1</v>
      </c>
    </row>
    <row r="103" spans="1:38" ht="16.5" customHeight="1">
      <c r="A103" s="877"/>
      <c r="B103" s="967"/>
      <c r="C103" s="861"/>
      <c r="D103" s="857"/>
      <c r="E103" s="857"/>
      <c r="F103" s="857"/>
      <c r="G103" s="891"/>
      <c r="H103" s="892"/>
      <c r="I103" s="867"/>
      <c r="J103" s="867"/>
      <c r="K103" s="867"/>
      <c r="L103" s="867"/>
      <c r="M103" s="867"/>
      <c r="N103" s="867"/>
      <c r="O103" s="867"/>
      <c r="P103" s="889"/>
      <c r="Q103" s="888"/>
      <c r="R103" s="872"/>
      <c r="S103" s="868"/>
      <c r="T103" s="968"/>
      <c r="U103" s="967"/>
      <c r="V103" s="861"/>
      <c r="W103" s="857"/>
      <c r="X103" s="857"/>
      <c r="Y103" s="857"/>
      <c r="Z103" s="891"/>
      <c r="AA103" s="892"/>
      <c r="AB103" s="867"/>
      <c r="AC103" s="867"/>
      <c r="AD103" s="867"/>
      <c r="AE103" s="867"/>
      <c r="AF103" s="867"/>
      <c r="AG103" s="867"/>
      <c r="AH103" s="867"/>
      <c r="AI103" s="889"/>
      <c r="AJ103" s="880"/>
      <c r="AK103" s="872"/>
      <c r="AL103" s="868"/>
    </row>
    <row r="104" spans="1:38" ht="16.5" customHeight="1">
      <c r="A104" s="855">
        <v>8</v>
      </c>
      <c r="B104" s="881" t="s">
        <v>59</v>
      </c>
      <c r="C104" s="855"/>
      <c r="D104" s="858"/>
      <c r="E104" s="858"/>
      <c r="F104" s="858"/>
      <c r="G104" s="860"/>
      <c r="H104" s="861">
        <v>0</v>
      </c>
      <c r="I104" s="857"/>
      <c r="J104" s="857"/>
      <c r="K104" s="857"/>
      <c r="L104" s="857"/>
      <c r="M104" s="857"/>
      <c r="N104" s="857"/>
      <c r="O104" s="857"/>
      <c r="P104" s="883"/>
      <c r="Q104" s="901">
        <f>IF(ISBLANK(A104),"",IF(ISBLANK(G104),SUM(H104:P105),0))</f>
        <v>0</v>
      </c>
      <c r="R104" s="872">
        <f>IF(Q104="","",Q104+R102)</f>
        <v>81</v>
      </c>
      <c r="S104" s="868">
        <f>IF(G104="X",0,COUNT(H104:P105))</f>
        <v>1</v>
      </c>
      <c r="T104" s="952">
        <v>8</v>
      </c>
      <c r="U104" s="881" t="s">
        <v>239</v>
      </c>
      <c r="V104" s="855"/>
      <c r="W104" s="858" t="s">
        <v>531</v>
      </c>
      <c r="X104" s="858" t="s">
        <v>531</v>
      </c>
      <c r="Y104" s="858"/>
      <c r="Z104" s="860"/>
      <c r="AA104" s="861">
        <v>4</v>
      </c>
      <c r="AB104" s="857">
        <v>5</v>
      </c>
      <c r="AC104" s="857">
        <v>3</v>
      </c>
      <c r="AD104" s="857"/>
      <c r="AE104" s="857"/>
      <c r="AF104" s="857"/>
      <c r="AG104" s="857"/>
      <c r="AH104" s="857"/>
      <c r="AI104" s="883"/>
      <c r="AJ104" s="873">
        <f>IF(ISBLANK(T104),"",IF(ISBLANK(Z104),SUM(AA104:AI105),0))</f>
        <v>12</v>
      </c>
      <c r="AK104" s="872">
        <f>IF(AJ104="","",AJ104+AK102)</f>
        <v>65</v>
      </c>
      <c r="AL104" s="868">
        <f>IF(Z104="X",0,COUNT(AA104:AI105))</f>
        <v>3</v>
      </c>
    </row>
    <row r="105" spans="1:38" ht="16.5" customHeight="1">
      <c r="A105" s="959"/>
      <c r="B105" s="881"/>
      <c r="C105" s="855"/>
      <c r="D105" s="858"/>
      <c r="E105" s="858"/>
      <c r="F105" s="858"/>
      <c r="G105" s="860"/>
      <c r="H105" s="861"/>
      <c r="I105" s="857"/>
      <c r="J105" s="857"/>
      <c r="K105" s="857"/>
      <c r="L105" s="857"/>
      <c r="M105" s="857"/>
      <c r="N105" s="857"/>
      <c r="O105" s="857"/>
      <c r="P105" s="883"/>
      <c r="Q105" s="902"/>
      <c r="R105" s="872"/>
      <c r="S105" s="868"/>
      <c r="T105" s="952"/>
      <c r="U105" s="881"/>
      <c r="V105" s="855"/>
      <c r="W105" s="858"/>
      <c r="X105" s="858"/>
      <c r="Y105" s="858"/>
      <c r="Z105" s="860"/>
      <c r="AA105" s="861"/>
      <c r="AB105" s="857"/>
      <c r="AC105" s="857"/>
      <c r="AD105" s="857"/>
      <c r="AE105" s="857"/>
      <c r="AF105" s="857"/>
      <c r="AG105" s="857"/>
      <c r="AH105" s="857"/>
      <c r="AI105" s="883"/>
      <c r="AJ105" s="884"/>
      <c r="AK105" s="872"/>
      <c r="AL105" s="868"/>
    </row>
    <row r="106" spans="1:38" ht="16.5" customHeight="1" thickBot="1">
      <c r="A106" s="865">
        <v>9</v>
      </c>
      <c r="B106" s="967" t="s">
        <v>223</v>
      </c>
      <c r="C106" s="861"/>
      <c r="D106" s="857" t="s">
        <v>531</v>
      </c>
      <c r="E106" s="857" t="s">
        <v>531</v>
      </c>
      <c r="F106" s="857"/>
      <c r="G106" s="891"/>
      <c r="H106" s="892">
        <v>4</v>
      </c>
      <c r="I106" s="867"/>
      <c r="J106" s="867"/>
      <c r="K106" s="867"/>
      <c r="L106" s="867"/>
      <c r="M106" s="867"/>
      <c r="N106" s="867"/>
      <c r="O106" s="867"/>
      <c r="P106" s="889"/>
      <c r="Q106" s="887">
        <f>IF(ISBLANK(A106),"",IF(ISBLANK(G106),SUM(H106:P107),0))</f>
        <v>4</v>
      </c>
      <c r="R106" s="872">
        <f>IF(Q106="","",Q106+R104)</f>
        <v>85</v>
      </c>
      <c r="S106" s="868">
        <f>IF(G106="X",0,COUNT(H106:P107))</f>
        <v>1</v>
      </c>
      <c r="T106" s="968">
        <v>9</v>
      </c>
      <c r="U106" s="967" t="s">
        <v>76</v>
      </c>
      <c r="V106" s="861"/>
      <c r="W106" s="857"/>
      <c r="X106" s="857"/>
      <c r="Y106" s="857"/>
      <c r="Z106" s="891"/>
      <c r="AA106" s="892">
        <v>0</v>
      </c>
      <c r="AB106" s="867"/>
      <c r="AC106" s="867"/>
      <c r="AD106" s="867"/>
      <c r="AE106" s="867"/>
      <c r="AF106" s="867"/>
      <c r="AG106" s="867"/>
      <c r="AH106" s="867"/>
      <c r="AI106" s="889"/>
      <c r="AJ106" s="888">
        <f>IF(ISBLANK(T106),"",IF(ISBLANK(Z106),SUM(AA106:AI107),0))</f>
        <v>0</v>
      </c>
      <c r="AK106" s="872">
        <f>IF(AJ106="","",AJ106+AK104)</f>
        <v>65</v>
      </c>
      <c r="AL106" s="868">
        <f>IF(Z106="X",0,COUNT(AA106:AI107))</f>
        <v>1</v>
      </c>
    </row>
    <row r="107" spans="1:38" ht="16.5" customHeight="1">
      <c r="A107" s="877"/>
      <c r="B107" s="967"/>
      <c r="C107" s="861"/>
      <c r="D107" s="857"/>
      <c r="E107" s="857"/>
      <c r="F107" s="857"/>
      <c r="G107" s="891"/>
      <c r="H107" s="892"/>
      <c r="I107" s="867"/>
      <c r="J107" s="867"/>
      <c r="K107" s="867"/>
      <c r="L107" s="867"/>
      <c r="M107" s="867"/>
      <c r="N107" s="867"/>
      <c r="O107" s="867"/>
      <c r="P107" s="889"/>
      <c r="Q107" s="888"/>
      <c r="R107" s="872"/>
      <c r="S107" s="868"/>
      <c r="T107" s="968"/>
      <c r="U107" s="967"/>
      <c r="V107" s="861"/>
      <c r="W107" s="857"/>
      <c r="X107" s="857"/>
      <c r="Y107" s="857"/>
      <c r="Z107" s="891"/>
      <c r="AA107" s="892"/>
      <c r="AB107" s="867"/>
      <c r="AC107" s="867"/>
      <c r="AD107" s="867"/>
      <c r="AE107" s="867"/>
      <c r="AF107" s="867"/>
      <c r="AG107" s="867"/>
      <c r="AH107" s="867"/>
      <c r="AI107" s="889"/>
      <c r="AJ107" s="880"/>
      <c r="AK107" s="872"/>
      <c r="AL107" s="868"/>
    </row>
    <row r="108" spans="1:38" ht="16.5" customHeight="1">
      <c r="A108" s="855">
        <v>10</v>
      </c>
      <c r="B108" s="881" t="s">
        <v>59</v>
      </c>
      <c r="C108" s="855"/>
      <c r="D108" s="858"/>
      <c r="E108" s="858"/>
      <c r="F108" s="858"/>
      <c r="G108" s="860"/>
      <c r="H108" s="861">
        <v>0</v>
      </c>
      <c r="I108" s="857"/>
      <c r="J108" s="857"/>
      <c r="K108" s="857"/>
      <c r="L108" s="857"/>
      <c r="M108" s="857"/>
      <c r="N108" s="857"/>
      <c r="O108" s="857"/>
      <c r="P108" s="883"/>
      <c r="Q108" s="901">
        <f>IF(ISBLANK(A108),"",IF(ISBLANK(G108),SUM(H108:P109),0))</f>
        <v>0</v>
      </c>
      <c r="R108" s="872">
        <f>IF(Q108="","",Q108+R106)</f>
        <v>85</v>
      </c>
      <c r="S108" s="868">
        <f>IF(G108="X",0,COUNT(H108:P109))</f>
        <v>1</v>
      </c>
      <c r="T108" s="952">
        <v>10</v>
      </c>
      <c r="U108" s="881" t="s">
        <v>241</v>
      </c>
      <c r="V108" s="855"/>
      <c r="W108" s="858" t="s">
        <v>531</v>
      </c>
      <c r="X108" s="858" t="s">
        <v>531</v>
      </c>
      <c r="Y108" s="858"/>
      <c r="Z108" s="860"/>
      <c r="AA108" s="861">
        <v>5</v>
      </c>
      <c r="AB108" s="857">
        <v>5</v>
      </c>
      <c r="AC108" s="857">
        <v>5</v>
      </c>
      <c r="AD108" s="857">
        <v>4</v>
      </c>
      <c r="AE108" s="857"/>
      <c r="AF108" s="857"/>
      <c r="AG108" s="857"/>
      <c r="AH108" s="857"/>
      <c r="AI108" s="883"/>
      <c r="AJ108" s="873">
        <f>IF(ISBLANK(T108),"",IF(ISBLANK(Z108),SUM(AA108:AI109),0))</f>
        <v>19</v>
      </c>
      <c r="AK108" s="872">
        <f>IF(AJ108="","",AJ108+AK106)</f>
        <v>84</v>
      </c>
      <c r="AL108" s="868">
        <f>IF(Z108="X",0,COUNT(AA108:AI109))</f>
        <v>4</v>
      </c>
    </row>
    <row r="109" spans="1:38" ht="16.5" customHeight="1">
      <c r="A109" s="959"/>
      <c r="B109" s="881"/>
      <c r="C109" s="855"/>
      <c r="D109" s="858"/>
      <c r="E109" s="858"/>
      <c r="F109" s="858"/>
      <c r="G109" s="860"/>
      <c r="H109" s="861"/>
      <c r="I109" s="857"/>
      <c r="J109" s="857"/>
      <c r="K109" s="857"/>
      <c r="L109" s="857"/>
      <c r="M109" s="857"/>
      <c r="N109" s="857"/>
      <c r="O109" s="857"/>
      <c r="P109" s="883"/>
      <c r="Q109" s="902"/>
      <c r="R109" s="872"/>
      <c r="S109" s="868"/>
      <c r="T109" s="952"/>
      <c r="U109" s="881"/>
      <c r="V109" s="855"/>
      <c r="W109" s="858"/>
      <c r="X109" s="858"/>
      <c r="Y109" s="858"/>
      <c r="Z109" s="860"/>
      <c r="AA109" s="861"/>
      <c r="AB109" s="857"/>
      <c r="AC109" s="857"/>
      <c r="AD109" s="857"/>
      <c r="AE109" s="857"/>
      <c r="AF109" s="857"/>
      <c r="AG109" s="857"/>
      <c r="AH109" s="857"/>
      <c r="AI109" s="883"/>
      <c r="AJ109" s="884"/>
      <c r="AK109" s="872"/>
      <c r="AL109" s="868"/>
    </row>
    <row r="110" spans="1:38" ht="16.5" customHeight="1" thickBot="1">
      <c r="A110" s="865">
        <v>11</v>
      </c>
      <c r="B110" s="967" t="s">
        <v>59</v>
      </c>
      <c r="C110" s="861"/>
      <c r="D110" s="857" t="s">
        <v>531</v>
      </c>
      <c r="E110" s="857"/>
      <c r="F110" s="857"/>
      <c r="G110" s="891"/>
      <c r="H110" s="892">
        <v>5</v>
      </c>
      <c r="I110" s="867">
        <v>3</v>
      </c>
      <c r="J110" s="867"/>
      <c r="K110" s="867"/>
      <c r="L110" s="867"/>
      <c r="M110" s="867"/>
      <c r="N110" s="867"/>
      <c r="O110" s="867"/>
      <c r="P110" s="889"/>
      <c r="Q110" s="887">
        <f>IF(ISBLANK(A110),"",IF(ISBLANK(G110),SUM(H110:P111),0))</f>
        <v>8</v>
      </c>
      <c r="R110" s="872">
        <f>IF(Q110="","",Q110+R108)</f>
        <v>93</v>
      </c>
      <c r="S110" s="868">
        <f>IF(G110="X",0,COUNT(H110:P111))</f>
        <v>2</v>
      </c>
      <c r="T110" s="968">
        <v>11</v>
      </c>
      <c r="U110" s="967" t="s">
        <v>76</v>
      </c>
      <c r="V110" s="861"/>
      <c r="W110" s="857"/>
      <c r="X110" s="857"/>
      <c r="Y110" s="857"/>
      <c r="Z110" s="891"/>
      <c r="AA110" s="892">
        <v>0</v>
      </c>
      <c r="AB110" s="867"/>
      <c r="AC110" s="867"/>
      <c r="AD110" s="867"/>
      <c r="AE110" s="867"/>
      <c r="AF110" s="867"/>
      <c r="AG110" s="867"/>
      <c r="AH110" s="867"/>
      <c r="AI110" s="889"/>
      <c r="AJ110" s="888">
        <f>IF(ISBLANK(T110),"",IF(ISBLANK(Z110),SUM(AA110:AI111),0))</f>
        <v>0</v>
      </c>
      <c r="AK110" s="872">
        <f>IF(AJ110="","",AJ110+AK108)</f>
        <v>84</v>
      </c>
      <c r="AL110" s="868">
        <f>IF(Z110="X",0,COUNT(AA110:AI111))</f>
        <v>1</v>
      </c>
    </row>
    <row r="111" spans="1:38" ht="16.5" customHeight="1">
      <c r="A111" s="877"/>
      <c r="B111" s="967"/>
      <c r="C111" s="861"/>
      <c r="D111" s="857"/>
      <c r="E111" s="857"/>
      <c r="F111" s="857"/>
      <c r="G111" s="891"/>
      <c r="H111" s="892"/>
      <c r="I111" s="867"/>
      <c r="J111" s="867"/>
      <c r="K111" s="867"/>
      <c r="L111" s="867"/>
      <c r="M111" s="867"/>
      <c r="N111" s="867"/>
      <c r="O111" s="867"/>
      <c r="P111" s="889"/>
      <c r="Q111" s="888"/>
      <c r="R111" s="872"/>
      <c r="S111" s="868"/>
      <c r="T111" s="968"/>
      <c r="U111" s="967"/>
      <c r="V111" s="861"/>
      <c r="W111" s="857"/>
      <c r="X111" s="857"/>
      <c r="Y111" s="857"/>
      <c r="Z111" s="891"/>
      <c r="AA111" s="892"/>
      <c r="AB111" s="867"/>
      <c r="AC111" s="867"/>
      <c r="AD111" s="867"/>
      <c r="AE111" s="867"/>
      <c r="AF111" s="867"/>
      <c r="AG111" s="867"/>
      <c r="AH111" s="867"/>
      <c r="AI111" s="889"/>
      <c r="AJ111" s="880"/>
      <c r="AK111" s="872"/>
      <c r="AL111" s="868"/>
    </row>
    <row r="112" spans="1:38" ht="16.5" customHeight="1">
      <c r="A112" s="855">
        <v>12</v>
      </c>
      <c r="B112" s="881" t="s">
        <v>223</v>
      </c>
      <c r="C112" s="855"/>
      <c r="D112" s="858"/>
      <c r="E112" s="858"/>
      <c r="F112" s="858"/>
      <c r="G112" s="860"/>
      <c r="H112" s="861">
        <v>0</v>
      </c>
      <c r="I112" s="857"/>
      <c r="J112" s="857"/>
      <c r="K112" s="857"/>
      <c r="L112" s="857"/>
      <c r="M112" s="857"/>
      <c r="N112" s="857"/>
      <c r="O112" s="857"/>
      <c r="P112" s="883"/>
      <c r="Q112" s="901">
        <f>IF(ISBLANK(A112),"",IF(ISBLANK(G112),SUM(H112:P113),0))</f>
        <v>0</v>
      </c>
      <c r="R112" s="872">
        <f>IF(Q112="","",Q112+R110)</f>
        <v>93</v>
      </c>
      <c r="S112" s="868">
        <f>IF(G112="X",0,COUNT(H112:P113))</f>
        <v>1</v>
      </c>
      <c r="T112" s="952">
        <v>12</v>
      </c>
      <c r="U112" s="881" t="s">
        <v>239</v>
      </c>
      <c r="V112" s="855"/>
      <c r="W112" s="858" t="s">
        <v>531</v>
      </c>
      <c r="X112" s="858" t="s">
        <v>531</v>
      </c>
      <c r="Y112" s="858"/>
      <c r="Z112" s="860"/>
      <c r="AA112" s="861">
        <v>0</v>
      </c>
      <c r="AB112" s="857"/>
      <c r="AC112" s="857"/>
      <c r="AD112" s="857"/>
      <c r="AE112" s="857"/>
      <c r="AF112" s="857"/>
      <c r="AG112" s="857"/>
      <c r="AH112" s="857"/>
      <c r="AI112" s="883"/>
      <c r="AJ112" s="873">
        <f>IF(ISBLANK(T112),"",IF(ISBLANK(Z112),SUM(AA112:AI113),0))</f>
        <v>0</v>
      </c>
      <c r="AK112" s="872">
        <f>IF(AJ112="","",AJ112+AK110)</f>
        <v>84</v>
      </c>
      <c r="AL112" s="868">
        <f>IF(Z112="X",0,COUNT(AA112:AI113))</f>
        <v>1</v>
      </c>
    </row>
    <row r="113" spans="1:38" ht="16.5" customHeight="1">
      <c r="A113" s="959"/>
      <c r="B113" s="881"/>
      <c r="C113" s="855"/>
      <c r="D113" s="858"/>
      <c r="E113" s="858"/>
      <c r="F113" s="858"/>
      <c r="G113" s="860"/>
      <c r="H113" s="861"/>
      <c r="I113" s="857"/>
      <c r="J113" s="857"/>
      <c r="K113" s="857"/>
      <c r="L113" s="857"/>
      <c r="M113" s="857"/>
      <c r="N113" s="857"/>
      <c r="O113" s="857"/>
      <c r="P113" s="883"/>
      <c r="Q113" s="902"/>
      <c r="R113" s="872"/>
      <c r="S113" s="868"/>
      <c r="T113" s="952"/>
      <c r="U113" s="881"/>
      <c r="V113" s="855"/>
      <c r="W113" s="858"/>
      <c r="X113" s="858"/>
      <c r="Y113" s="858"/>
      <c r="Z113" s="860"/>
      <c r="AA113" s="861"/>
      <c r="AB113" s="857"/>
      <c r="AC113" s="857"/>
      <c r="AD113" s="857"/>
      <c r="AE113" s="857"/>
      <c r="AF113" s="857"/>
      <c r="AG113" s="857"/>
      <c r="AH113" s="857"/>
      <c r="AI113" s="883"/>
      <c r="AJ113" s="884"/>
      <c r="AK113" s="872"/>
      <c r="AL113" s="868"/>
    </row>
    <row r="114" spans="1:38" ht="16.5" customHeight="1" thickBot="1">
      <c r="A114" s="865">
        <v>13</v>
      </c>
      <c r="B114" s="967" t="s">
        <v>57</v>
      </c>
      <c r="C114" s="861"/>
      <c r="D114" s="857" t="s">
        <v>531</v>
      </c>
      <c r="E114" s="857" t="s">
        <v>531</v>
      </c>
      <c r="F114" s="857"/>
      <c r="G114" s="891"/>
      <c r="H114" s="892">
        <v>5</v>
      </c>
      <c r="I114" s="867">
        <v>5</v>
      </c>
      <c r="J114" s="867"/>
      <c r="K114" s="867"/>
      <c r="L114" s="867"/>
      <c r="M114" s="867"/>
      <c r="N114" s="867"/>
      <c r="O114" s="867"/>
      <c r="P114" s="889"/>
      <c r="Q114" s="887">
        <f>IF(ISBLANK(A114),"",IF(ISBLANK(G114),SUM(H114:P115),0))</f>
        <v>10</v>
      </c>
      <c r="R114" s="872">
        <f>IF(Q114="","",Q114+R112)</f>
        <v>103</v>
      </c>
      <c r="S114" s="868">
        <f>IF(G114="X",0,COUNT(H114:P115))</f>
        <v>2</v>
      </c>
      <c r="T114" s="968">
        <v>13</v>
      </c>
      <c r="U114" s="967" t="s">
        <v>241</v>
      </c>
      <c r="V114" s="861"/>
      <c r="W114" s="857"/>
      <c r="X114" s="857"/>
      <c r="Y114" s="857"/>
      <c r="Z114" s="891"/>
      <c r="AA114" s="892">
        <v>0</v>
      </c>
      <c r="AB114" s="867"/>
      <c r="AC114" s="867"/>
      <c r="AD114" s="867"/>
      <c r="AE114" s="867"/>
      <c r="AF114" s="867"/>
      <c r="AG114" s="867"/>
      <c r="AH114" s="867"/>
      <c r="AI114" s="889"/>
      <c r="AJ114" s="888">
        <f>IF(ISBLANK(T114),"",IF(ISBLANK(Z114),SUM(AA114:AI115),0))</f>
        <v>0</v>
      </c>
      <c r="AK114" s="872">
        <f>IF(AJ114="","",AJ114+AK112)</f>
        <v>84</v>
      </c>
      <c r="AL114" s="868">
        <f>IF(Z114="X",0,COUNT(AA114:AI115))</f>
        <v>1</v>
      </c>
    </row>
    <row r="115" spans="1:38" ht="16.5" customHeight="1">
      <c r="A115" s="877"/>
      <c r="B115" s="967"/>
      <c r="C115" s="861"/>
      <c r="D115" s="857"/>
      <c r="E115" s="857"/>
      <c r="F115" s="857"/>
      <c r="G115" s="891"/>
      <c r="H115" s="892"/>
      <c r="I115" s="867"/>
      <c r="J115" s="867"/>
      <c r="K115" s="867"/>
      <c r="L115" s="867"/>
      <c r="M115" s="867"/>
      <c r="N115" s="867"/>
      <c r="O115" s="867"/>
      <c r="P115" s="889"/>
      <c r="Q115" s="888"/>
      <c r="R115" s="872"/>
      <c r="S115" s="868"/>
      <c r="T115" s="968"/>
      <c r="U115" s="967"/>
      <c r="V115" s="861"/>
      <c r="W115" s="857"/>
      <c r="X115" s="857"/>
      <c r="Y115" s="857"/>
      <c r="Z115" s="891"/>
      <c r="AA115" s="892"/>
      <c r="AB115" s="867"/>
      <c r="AC115" s="867"/>
      <c r="AD115" s="867"/>
      <c r="AE115" s="867"/>
      <c r="AF115" s="867"/>
      <c r="AG115" s="867"/>
      <c r="AH115" s="867"/>
      <c r="AI115" s="889"/>
      <c r="AJ115" s="880"/>
      <c r="AK115" s="872"/>
      <c r="AL115" s="868"/>
    </row>
    <row r="116" spans="1:38" ht="16.5" customHeight="1">
      <c r="A116" s="855">
        <v>14</v>
      </c>
      <c r="B116" s="881" t="s">
        <v>59</v>
      </c>
      <c r="C116" s="855"/>
      <c r="D116" s="858" t="s">
        <v>531</v>
      </c>
      <c r="E116" s="858" t="s">
        <v>531</v>
      </c>
      <c r="F116" s="858"/>
      <c r="G116" s="860"/>
      <c r="H116" s="861">
        <v>2</v>
      </c>
      <c r="I116" s="857"/>
      <c r="J116" s="857"/>
      <c r="K116" s="857"/>
      <c r="L116" s="857"/>
      <c r="M116" s="857"/>
      <c r="N116" s="857"/>
      <c r="O116" s="857"/>
      <c r="P116" s="883"/>
      <c r="Q116" s="901">
        <f>IF(ISBLANK(A116),"",IF(ISBLANK(G116),SUM(H116:P117),0))</f>
        <v>2</v>
      </c>
      <c r="R116" s="872">
        <f>IF(Q116="","",Q116+R114)</f>
        <v>105</v>
      </c>
      <c r="S116" s="868">
        <f>IF(G116="X",0,COUNT(H116:P117))</f>
        <v>1</v>
      </c>
      <c r="T116" s="952">
        <v>14</v>
      </c>
      <c r="U116" s="881" t="s">
        <v>241</v>
      </c>
      <c r="V116" s="855"/>
      <c r="W116" s="858"/>
      <c r="X116" s="858"/>
      <c r="Y116" s="858"/>
      <c r="Z116" s="860"/>
      <c r="AA116" s="861">
        <v>1</v>
      </c>
      <c r="AB116" s="857"/>
      <c r="AC116" s="857"/>
      <c r="AD116" s="857"/>
      <c r="AE116" s="857"/>
      <c r="AF116" s="857"/>
      <c r="AG116" s="857"/>
      <c r="AH116" s="857"/>
      <c r="AI116" s="883"/>
      <c r="AJ116" s="873">
        <f>IF(ISBLANK(T116),"",IF(ISBLANK(Z116),SUM(AA116:AI117),0))</f>
        <v>1</v>
      </c>
      <c r="AK116" s="872">
        <f>IF(AJ116="","",AJ116+AK114)</f>
        <v>85</v>
      </c>
      <c r="AL116" s="868">
        <f>IF(Z116="X",0,COUNT(AA116:AI117))</f>
        <v>1</v>
      </c>
    </row>
    <row r="117" spans="1:38" ht="16.5" customHeight="1">
      <c r="A117" s="959"/>
      <c r="B117" s="881"/>
      <c r="C117" s="855"/>
      <c r="D117" s="858"/>
      <c r="E117" s="858"/>
      <c r="F117" s="858"/>
      <c r="G117" s="860"/>
      <c r="H117" s="861"/>
      <c r="I117" s="857"/>
      <c r="J117" s="857"/>
      <c r="K117" s="857"/>
      <c r="L117" s="857"/>
      <c r="M117" s="857"/>
      <c r="N117" s="857"/>
      <c r="O117" s="857"/>
      <c r="P117" s="883"/>
      <c r="Q117" s="902"/>
      <c r="R117" s="872"/>
      <c r="S117" s="868"/>
      <c r="T117" s="952"/>
      <c r="U117" s="881"/>
      <c r="V117" s="855"/>
      <c r="W117" s="858"/>
      <c r="X117" s="858"/>
      <c r="Y117" s="858"/>
      <c r="Z117" s="860"/>
      <c r="AA117" s="861"/>
      <c r="AB117" s="857"/>
      <c r="AC117" s="857"/>
      <c r="AD117" s="857"/>
      <c r="AE117" s="857"/>
      <c r="AF117" s="857"/>
      <c r="AG117" s="857"/>
      <c r="AH117" s="857"/>
      <c r="AI117" s="883"/>
      <c r="AJ117" s="884"/>
      <c r="AK117" s="872"/>
      <c r="AL117" s="868"/>
    </row>
    <row r="118" spans="1:38" ht="16.5" customHeight="1" thickBot="1">
      <c r="A118" s="865">
        <v>15</v>
      </c>
      <c r="B118" s="967" t="s">
        <v>57</v>
      </c>
      <c r="C118" s="861"/>
      <c r="D118" s="857"/>
      <c r="E118" s="857"/>
      <c r="F118" s="857"/>
      <c r="G118" s="891"/>
      <c r="H118" s="892">
        <v>4</v>
      </c>
      <c r="I118" s="867">
        <v>5</v>
      </c>
      <c r="J118" s="867">
        <v>4</v>
      </c>
      <c r="K118" s="867"/>
      <c r="L118" s="867"/>
      <c r="M118" s="867"/>
      <c r="N118" s="867"/>
      <c r="O118" s="867"/>
      <c r="P118" s="889"/>
      <c r="Q118" s="887">
        <f>IF(ISBLANK(A118),"",IF(ISBLANK(G118),SUM(H118:P119),0))</f>
        <v>13</v>
      </c>
      <c r="R118" s="872">
        <f>IF(Q118="","",Q118+R116)</f>
        <v>118</v>
      </c>
      <c r="S118" s="868">
        <f>IF(G118="X",0,COUNT(H118:P119))</f>
        <v>3</v>
      </c>
      <c r="T118" s="968">
        <v>15</v>
      </c>
      <c r="U118" s="967" t="s">
        <v>74</v>
      </c>
      <c r="V118" s="861" t="s">
        <v>531</v>
      </c>
      <c r="W118" s="857" t="s">
        <v>531</v>
      </c>
      <c r="X118" s="857"/>
      <c r="Y118" s="857"/>
      <c r="Z118" s="891" t="s">
        <v>531</v>
      </c>
      <c r="AA118" s="892" t="s">
        <v>699</v>
      </c>
      <c r="AB118" s="867"/>
      <c r="AC118" s="867"/>
      <c r="AD118" s="867"/>
      <c r="AE118" s="867"/>
      <c r="AF118" s="867"/>
      <c r="AG118" s="867"/>
      <c r="AH118" s="867"/>
      <c r="AI118" s="889"/>
      <c r="AJ118" s="888">
        <f>IF(ISBLANK(T118),"",IF(ISBLANK(Z118),SUM(AA118:AI119),0))</f>
        <v>0</v>
      </c>
      <c r="AK118" s="872">
        <f>IF(AJ118="","",AJ118+AK116)</f>
        <v>85</v>
      </c>
      <c r="AL118" s="868">
        <f>IF(Z118="X",0,COUNT(AA118:AI119))</f>
        <v>0</v>
      </c>
    </row>
    <row r="119" spans="1:38" ht="16.5" customHeight="1">
      <c r="A119" s="877"/>
      <c r="B119" s="967"/>
      <c r="C119" s="861"/>
      <c r="D119" s="857"/>
      <c r="E119" s="857"/>
      <c r="F119" s="857"/>
      <c r="G119" s="891"/>
      <c r="H119" s="892"/>
      <c r="I119" s="867"/>
      <c r="J119" s="867"/>
      <c r="K119" s="867"/>
      <c r="L119" s="867"/>
      <c r="M119" s="867"/>
      <c r="N119" s="867"/>
      <c r="O119" s="867"/>
      <c r="P119" s="889"/>
      <c r="Q119" s="888"/>
      <c r="R119" s="872"/>
      <c r="S119" s="868"/>
      <c r="T119" s="968"/>
      <c r="U119" s="967"/>
      <c r="V119" s="861"/>
      <c r="W119" s="857"/>
      <c r="X119" s="857"/>
      <c r="Y119" s="857"/>
      <c r="Z119" s="891"/>
      <c r="AA119" s="892"/>
      <c r="AB119" s="867"/>
      <c r="AC119" s="867"/>
      <c r="AD119" s="867"/>
      <c r="AE119" s="867"/>
      <c r="AF119" s="867"/>
      <c r="AG119" s="867"/>
      <c r="AH119" s="867"/>
      <c r="AI119" s="889"/>
      <c r="AJ119" s="880"/>
      <c r="AK119" s="872"/>
      <c r="AL119" s="868"/>
    </row>
    <row r="120" spans="1:38" ht="16.5" customHeight="1">
      <c r="A120" s="855" t="s">
        <v>234</v>
      </c>
      <c r="B120" s="881"/>
      <c r="C120" s="855"/>
      <c r="D120" s="858"/>
      <c r="E120" s="858"/>
      <c r="F120" s="858"/>
      <c r="G120" s="860"/>
      <c r="H120" s="861"/>
      <c r="I120" s="857"/>
      <c r="J120" s="857"/>
      <c r="K120" s="857"/>
      <c r="L120" s="857"/>
      <c r="M120" s="857"/>
      <c r="N120" s="857"/>
      <c r="O120" s="857"/>
      <c r="P120" s="883"/>
      <c r="Q120" s="901">
        <f>IF(ISBLANK(A120),"",IF(ISBLANK(G120),SUM(H120:P121),0))</f>
        <v>0</v>
      </c>
      <c r="R120" s="872">
        <f>IF(Q120="","",Q120+R118)</f>
        <v>118</v>
      </c>
      <c r="S120" s="868">
        <f>IF(G120="X",0,COUNT(H120:P121))</f>
        <v>0</v>
      </c>
      <c r="T120" s="952" t="s">
        <v>234</v>
      </c>
      <c r="U120" s="881" t="s">
        <v>113</v>
      </c>
      <c r="V120" s="855"/>
      <c r="W120" s="858"/>
      <c r="X120" s="858"/>
      <c r="Y120" s="858"/>
      <c r="Z120" s="860"/>
      <c r="AA120" s="861">
        <v>1</v>
      </c>
      <c r="AB120" s="857"/>
      <c r="AC120" s="857"/>
      <c r="AD120" s="857"/>
      <c r="AE120" s="857"/>
      <c r="AF120" s="857"/>
      <c r="AG120" s="857"/>
      <c r="AH120" s="857"/>
      <c r="AI120" s="883"/>
      <c r="AJ120" s="873">
        <f>IF(ISBLANK(T120),"",IF(ISBLANK(Z120),SUM(AA120:AI121),0))</f>
        <v>1</v>
      </c>
      <c r="AK120" s="872">
        <f>IF(AJ120="","",AJ120+AK118)</f>
        <v>86</v>
      </c>
      <c r="AL120" s="868">
        <f>IF(Z120="X",0,COUNT(AA120:AI121))</f>
        <v>1</v>
      </c>
    </row>
    <row r="121" spans="1:38" ht="16.5" customHeight="1">
      <c r="A121" s="959"/>
      <c r="B121" s="881"/>
      <c r="C121" s="855"/>
      <c r="D121" s="858"/>
      <c r="E121" s="858"/>
      <c r="F121" s="858"/>
      <c r="G121" s="860"/>
      <c r="H121" s="861"/>
      <c r="I121" s="857"/>
      <c r="J121" s="857"/>
      <c r="K121" s="857"/>
      <c r="L121" s="857"/>
      <c r="M121" s="857"/>
      <c r="N121" s="857"/>
      <c r="O121" s="857"/>
      <c r="P121" s="883"/>
      <c r="Q121" s="902"/>
      <c r="R121" s="872"/>
      <c r="S121" s="868"/>
      <c r="T121" s="952"/>
      <c r="U121" s="881"/>
      <c r="V121" s="855"/>
      <c r="W121" s="858"/>
      <c r="X121" s="858"/>
      <c r="Y121" s="858"/>
      <c r="Z121" s="860"/>
      <c r="AA121" s="861"/>
      <c r="AB121" s="857"/>
      <c r="AC121" s="857"/>
      <c r="AD121" s="857"/>
      <c r="AE121" s="857"/>
      <c r="AF121" s="857"/>
      <c r="AG121" s="857"/>
      <c r="AH121" s="857"/>
      <c r="AI121" s="883"/>
      <c r="AJ121" s="884"/>
      <c r="AK121" s="872"/>
      <c r="AL121" s="868"/>
    </row>
    <row r="122" spans="1:38" ht="16.5" customHeight="1" thickBot="1">
      <c r="A122" s="865">
        <v>16</v>
      </c>
      <c r="B122" s="967" t="s">
        <v>59</v>
      </c>
      <c r="C122" s="861"/>
      <c r="D122" s="857" t="s">
        <v>531</v>
      </c>
      <c r="E122" s="857"/>
      <c r="F122" s="857"/>
      <c r="G122" s="891"/>
      <c r="H122" s="892">
        <v>5</v>
      </c>
      <c r="I122" s="867"/>
      <c r="J122" s="867"/>
      <c r="K122" s="867"/>
      <c r="L122" s="867"/>
      <c r="M122" s="867"/>
      <c r="N122" s="867"/>
      <c r="O122" s="867"/>
      <c r="P122" s="889"/>
      <c r="Q122" s="887">
        <f>IF(ISBLANK(A122),"",IF(ISBLANK(G122),SUM(H122:P123),0))</f>
        <v>5</v>
      </c>
      <c r="R122" s="872">
        <f>IF(Q122="","",Q122+R120)</f>
        <v>123</v>
      </c>
      <c r="S122" s="868">
        <f>IF(G122="X",0,COUNT(H122:P123))</f>
        <v>1</v>
      </c>
      <c r="T122" s="968">
        <v>16</v>
      </c>
      <c r="U122" s="967" t="s">
        <v>239</v>
      </c>
      <c r="V122" s="861"/>
      <c r="W122" s="857"/>
      <c r="X122" s="857"/>
      <c r="Y122" s="857"/>
      <c r="Z122" s="891"/>
      <c r="AA122" s="892">
        <v>0</v>
      </c>
      <c r="AB122" s="867"/>
      <c r="AC122" s="867"/>
      <c r="AD122" s="867"/>
      <c r="AE122" s="867"/>
      <c r="AF122" s="867"/>
      <c r="AG122" s="867"/>
      <c r="AH122" s="867"/>
      <c r="AI122" s="889"/>
      <c r="AJ122" s="888">
        <f>IF(ISBLANK(T122),"",IF(ISBLANK(Z122),SUM(AA122:AI123),0))</f>
        <v>0</v>
      </c>
      <c r="AK122" s="872">
        <f>IF(AJ122="","",AJ122+AK120)</f>
        <v>86</v>
      </c>
      <c r="AL122" s="868">
        <f>IF(Z122="X",0,COUNT(AA122:AI123))</f>
        <v>1</v>
      </c>
    </row>
    <row r="123" spans="1:38" ht="16.5" customHeight="1">
      <c r="A123" s="877"/>
      <c r="B123" s="967"/>
      <c r="C123" s="861"/>
      <c r="D123" s="857"/>
      <c r="E123" s="857"/>
      <c r="F123" s="857"/>
      <c r="G123" s="891"/>
      <c r="H123" s="892"/>
      <c r="I123" s="867"/>
      <c r="J123" s="867"/>
      <c r="K123" s="867"/>
      <c r="L123" s="867"/>
      <c r="M123" s="867"/>
      <c r="N123" s="867"/>
      <c r="O123" s="867"/>
      <c r="P123" s="889"/>
      <c r="Q123" s="888"/>
      <c r="R123" s="872"/>
      <c r="S123" s="868"/>
      <c r="T123" s="968"/>
      <c r="U123" s="967"/>
      <c r="V123" s="861"/>
      <c r="W123" s="857"/>
      <c r="X123" s="857"/>
      <c r="Y123" s="857"/>
      <c r="Z123" s="891"/>
      <c r="AA123" s="892"/>
      <c r="AB123" s="867"/>
      <c r="AC123" s="867"/>
      <c r="AD123" s="867"/>
      <c r="AE123" s="867"/>
      <c r="AF123" s="867"/>
      <c r="AG123" s="867"/>
      <c r="AH123" s="867"/>
      <c r="AI123" s="889"/>
      <c r="AJ123" s="880"/>
      <c r="AK123" s="872"/>
      <c r="AL123" s="868"/>
    </row>
    <row r="124" spans="1:38" ht="16.5" customHeight="1">
      <c r="A124" s="855">
        <v>17</v>
      </c>
      <c r="B124" s="881" t="s">
        <v>221</v>
      </c>
      <c r="C124" s="855" t="s">
        <v>531</v>
      </c>
      <c r="D124" s="858"/>
      <c r="E124" s="858"/>
      <c r="F124" s="858"/>
      <c r="G124" s="860"/>
      <c r="H124" s="861">
        <v>4</v>
      </c>
      <c r="I124" s="857"/>
      <c r="J124" s="857"/>
      <c r="K124" s="857"/>
      <c r="L124" s="857"/>
      <c r="M124" s="857"/>
      <c r="N124" s="857"/>
      <c r="O124" s="857"/>
      <c r="P124" s="883"/>
      <c r="Q124" s="901">
        <f>IF(ISBLANK(A124),"",IF(ISBLANK(G124),SUM(H124:P125),0))</f>
        <v>4</v>
      </c>
      <c r="R124" s="872">
        <f>IF(Q124="","",Q124+R122)</f>
        <v>127</v>
      </c>
      <c r="S124" s="868">
        <f>IF(G124="X",0,COUNT(H124:P125))</f>
        <v>1</v>
      </c>
      <c r="T124" s="952">
        <v>17</v>
      </c>
      <c r="U124" s="881" t="s">
        <v>239</v>
      </c>
      <c r="V124" s="855" t="s">
        <v>531</v>
      </c>
      <c r="W124" s="858" t="s">
        <v>531</v>
      </c>
      <c r="X124" s="858"/>
      <c r="Y124" s="858"/>
      <c r="Z124" s="860"/>
      <c r="AA124" s="861">
        <v>5</v>
      </c>
      <c r="AB124" s="857"/>
      <c r="AC124" s="857"/>
      <c r="AD124" s="857"/>
      <c r="AE124" s="857"/>
      <c r="AF124" s="857"/>
      <c r="AG124" s="857"/>
      <c r="AH124" s="857"/>
      <c r="AI124" s="883"/>
      <c r="AJ124" s="873">
        <f>IF(ISBLANK(T124),"",IF(ISBLANK(Z124),SUM(AA124:AI125),0))</f>
        <v>5</v>
      </c>
      <c r="AK124" s="872">
        <f>IF(AJ124="","",AJ124+AK122)</f>
        <v>91</v>
      </c>
      <c r="AL124" s="868">
        <f>IF(Z124="X",0,COUNT(AA124:AI125))</f>
        <v>1</v>
      </c>
    </row>
    <row r="125" spans="1:38" ht="16.5" customHeight="1">
      <c r="A125" s="959"/>
      <c r="B125" s="881"/>
      <c r="C125" s="855"/>
      <c r="D125" s="858"/>
      <c r="E125" s="858"/>
      <c r="F125" s="858"/>
      <c r="G125" s="860"/>
      <c r="H125" s="861"/>
      <c r="I125" s="857"/>
      <c r="J125" s="857"/>
      <c r="K125" s="857"/>
      <c r="L125" s="857"/>
      <c r="M125" s="857"/>
      <c r="N125" s="857"/>
      <c r="O125" s="857"/>
      <c r="P125" s="883"/>
      <c r="Q125" s="902"/>
      <c r="R125" s="872"/>
      <c r="S125" s="868"/>
      <c r="T125" s="952"/>
      <c r="U125" s="881"/>
      <c r="V125" s="855"/>
      <c r="W125" s="858"/>
      <c r="X125" s="858"/>
      <c r="Y125" s="858"/>
      <c r="Z125" s="860"/>
      <c r="AA125" s="861"/>
      <c r="AB125" s="857"/>
      <c r="AC125" s="857"/>
      <c r="AD125" s="857"/>
      <c r="AE125" s="857"/>
      <c r="AF125" s="857"/>
      <c r="AG125" s="857"/>
      <c r="AH125" s="857"/>
      <c r="AI125" s="883"/>
      <c r="AJ125" s="884"/>
      <c r="AK125" s="872"/>
      <c r="AL125" s="868"/>
    </row>
    <row r="126" spans="1:38" ht="16.5" customHeight="1" thickBot="1">
      <c r="A126" s="865">
        <v>18</v>
      </c>
      <c r="B126" s="967" t="s">
        <v>221</v>
      </c>
      <c r="C126" s="861"/>
      <c r="D126" s="857"/>
      <c r="E126" s="857"/>
      <c r="F126" s="857"/>
      <c r="G126" s="891"/>
      <c r="H126" s="892">
        <v>0</v>
      </c>
      <c r="I126" s="867"/>
      <c r="J126" s="867"/>
      <c r="K126" s="867"/>
      <c r="L126" s="867"/>
      <c r="M126" s="867"/>
      <c r="N126" s="867"/>
      <c r="O126" s="867"/>
      <c r="P126" s="889"/>
      <c r="Q126" s="887">
        <f>IF(ISBLANK(A126),"",IF(ISBLANK(G126),SUM(H126:P127),0))</f>
        <v>0</v>
      </c>
      <c r="R126" s="872">
        <f>IF(Q126="","",Q126+R124)</f>
        <v>127</v>
      </c>
      <c r="S126" s="868">
        <f>IF(G126="X",0,COUNT(H126:P127))</f>
        <v>1</v>
      </c>
      <c r="T126" s="968">
        <v>18</v>
      </c>
      <c r="U126" s="967" t="s">
        <v>76</v>
      </c>
      <c r="V126" s="861"/>
      <c r="W126" s="857" t="s">
        <v>531</v>
      </c>
      <c r="X126" s="857" t="s">
        <v>531</v>
      </c>
      <c r="Y126" s="857"/>
      <c r="Z126" s="891"/>
      <c r="AA126" s="892">
        <v>5</v>
      </c>
      <c r="AB126" s="867">
        <v>4</v>
      </c>
      <c r="AC126" s="867"/>
      <c r="AD126" s="867"/>
      <c r="AE126" s="867"/>
      <c r="AF126" s="867"/>
      <c r="AG126" s="867"/>
      <c r="AH126" s="867"/>
      <c r="AI126" s="889"/>
      <c r="AJ126" s="888">
        <f>IF(ISBLANK(T126),"",IF(ISBLANK(Z126),SUM(AA126:AI127),0))</f>
        <v>9</v>
      </c>
      <c r="AK126" s="872">
        <f>IF(AJ126="","",AJ126+AK124)</f>
        <v>100</v>
      </c>
      <c r="AL126" s="868">
        <f>IF(Z126="X",0,COUNT(AA126:AI127))</f>
        <v>2</v>
      </c>
    </row>
    <row r="127" spans="1:38" ht="16.5" customHeight="1">
      <c r="A127" s="877"/>
      <c r="B127" s="967"/>
      <c r="C127" s="861"/>
      <c r="D127" s="857"/>
      <c r="E127" s="857"/>
      <c r="F127" s="857"/>
      <c r="G127" s="891"/>
      <c r="H127" s="892"/>
      <c r="I127" s="867"/>
      <c r="J127" s="867"/>
      <c r="K127" s="867"/>
      <c r="L127" s="867"/>
      <c r="M127" s="867"/>
      <c r="N127" s="867"/>
      <c r="O127" s="867"/>
      <c r="P127" s="889"/>
      <c r="Q127" s="888"/>
      <c r="R127" s="872"/>
      <c r="S127" s="868"/>
      <c r="T127" s="968"/>
      <c r="U127" s="967"/>
      <c r="V127" s="861"/>
      <c r="W127" s="857"/>
      <c r="X127" s="857"/>
      <c r="Y127" s="857"/>
      <c r="Z127" s="891"/>
      <c r="AA127" s="892"/>
      <c r="AB127" s="867"/>
      <c r="AC127" s="867"/>
      <c r="AD127" s="867"/>
      <c r="AE127" s="867"/>
      <c r="AF127" s="867"/>
      <c r="AG127" s="867"/>
      <c r="AH127" s="867"/>
      <c r="AI127" s="889"/>
      <c r="AJ127" s="880"/>
      <c r="AK127" s="872"/>
      <c r="AL127" s="868"/>
    </row>
    <row r="128" spans="1:38" ht="16.5" customHeight="1">
      <c r="A128" s="855">
        <v>19</v>
      </c>
      <c r="B128" s="881" t="s">
        <v>57</v>
      </c>
      <c r="C128" s="855"/>
      <c r="D128" s="858"/>
      <c r="E128" s="858"/>
      <c r="F128" s="858"/>
      <c r="G128" s="860"/>
      <c r="H128" s="861">
        <v>0</v>
      </c>
      <c r="I128" s="857"/>
      <c r="J128" s="857"/>
      <c r="K128" s="857"/>
      <c r="L128" s="857"/>
      <c r="M128" s="857"/>
      <c r="N128" s="857"/>
      <c r="O128" s="857"/>
      <c r="P128" s="883"/>
      <c r="Q128" s="901">
        <f>IF(ISBLANK(A128),"",IF(ISBLANK(G128),SUM(H128:P129),0))</f>
        <v>0</v>
      </c>
      <c r="R128" s="872">
        <f>IF(Q128="","",Q128+R126)</f>
        <v>127</v>
      </c>
      <c r="S128" s="868">
        <f>IF(G128="X",0,COUNT(H128:P129))</f>
        <v>1</v>
      </c>
      <c r="T128" s="952">
        <v>19</v>
      </c>
      <c r="U128" s="881" t="s">
        <v>241</v>
      </c>
      <c r="V128" s="855"/>
      <c r="W128" s="858" t="s">
        <v>531</v>
      </c>
      <c r="X128" s="858" t="s">
        <v>531</v>
      </c>
      <c r="Y128" s="858"/>
      <c r="Z128" s="860"/>
      <c r="AA128" s="861">
        <v>4</v>
      </c>
      <c r="AB128" s="857"/>
      <c r="AC128" s="857"/>
      <c r="AD128" s="857"/>
      <c r="AE128" s="857"/>
      <c r="AF128" s="857"/>
      <c r="AG128" s="857"/>
      <c r="AH128" s="857"/>
      <c r="AI128" s="883"/>
      <c r="AJ128" s="873">
        <f>IF(ISBLANK(T128),"",IF(ISBLANK(Z128),SUM(AA128:AI129),0))</f>
        <v>4</v>
      </c>
      <c r="AK128" s="872">
        <f>IF(AJ128="","",AJ128+AK126)</f>
        <v>104</v>
      </c>
      <c r="AL128" s="868">
        <f>IF(Z128="X",0,COUNT(AA128:AI129))</f>
        <v>1</v>
      </c>
    </row>
    <row r="129" spans="1:38" ht="16.5" customHeight="1">
      <c r="A129" s="959"/>
      <c r="B129" s="881"/>
      <c r="C129" s="855"/>
      <c r="D129" s="858"/>
      <c r="E129" s="858"/>
      <c r="F129" s="858"/>
      <c r="G129" s="860"/>
      <c r="H129" s="861"/>
      <c r="I129" s="857"/>
      <c r="J129" s="857"/>
      <c r="K129" s="857"/>
      <c r="L129" s="857"/>
      <c r="M129" s="857"/>
      <c r="N129" s="857"/>
      <c r="O129" s="857"/>
      <c r="P129" s="883"/>
      <c r="Q129" s="902"/>
      <c r="R129" s="872"/>
      <c r="S129" s="868"/>
      <c r="T129" s="952"/>
      <c r="U129" s="881"/>
      <c r="V129" s="855"/>
      <c r="W129" s="858"/>
      <c r="X129" s="858"/>
      <c r="Y129" s="858"/>
      <c r="Z129" s="860"/>
      <c r="AA129" s="861"/>
      <c r="AB129" s="857"/>
      <c r="AC129" s="857"/>
      <c r="AD129" s="857"/>
      <c r="AE129" s="857"/>
      <c r="AF129" s="857"/>
      <c r="AG129" s="857"/>
      <c r="AH129" s="857"/>
      <c r="AI129" s="883"/>
      <c r="AJ129" s="884"/>
      <c r="AK129" s="872"/>
      <c r="AL129" s="868"/>
    </row>
    <row r="130" spans="1:38" ht="16.5" customHeight="1" thickBot="1">
      <c r="A130" s="865">
        <v>20</v>
      </c>
      <c r="B130" s="967" t="s">
        <v>59</v>
      </c>
      <c r="C130" s="861"/>
      <c r="D130" s="857"/>
      <c r="E130" s="857"/>
      <c r="F130" s="857"/>
      <c r="G130" s="891"/>
      <c r="H130" s="892">
        <v>5</v>
      </c>
      <c r="I130" s="867">
        <v>5</v>
      </c>
      <c r="J130" s="867">
        <v>5</v>
      </c>
      <c r="K130" s="867"/>
      <c r="L130" s="867"/>
      <c r="M130" s="867"/>
      <c r="N130" s="867"/>
      <c r="O130" s="867"/>
      <c r="P130" s="889"/>
      <c r="Q130" s="887">
        <f>IF(ISBLANK(A130),"",IF(ISBLANK(G130),SUM(H130:P131),0))</f>
        <v>15</v>
      </c>
      <c r="R130" s="872">
        <f>IF(Q130="","",Q130+R128)</f>
        <v>142</v>
      </c>
      <c r="S130" s="868">
        <f>IF(G130="X",0,COUNT(H130:P131))</f>
        <v>3</v>
      </c>
      <c r="T130" s="968">
        <v>20</v>
      </c>
      <c r="U130" s="967" t="s">
        <v>241</v>
      </c>
      <c r="V130" s="861"/>
      <c r="W130" s="857" t="s">
        <v>531</v>
      </c>
      <c r="X130" s="857"/>
      <c r="Y130" s="857"/>
      <c r="Z130" s="891"/>
      <c r="AA130" s="892">
        <v>4</v>
      </c>
      <c r="AB130" s="867"/>
      <c r="AC130" s="867"/>
      <c r="AD130" s="867"/>
      <c r="AE130" s="867"/>
      <c r="AF130" s="867"/>
      <c r="AG130" s="867"/>
      <c r="AH130" s="867"/>
      <c r="AI130" s="889"/>
      <c r="AJ130" s="888">
        <f>IF(ISBLANK(T130),"",IF(ISBLANK(Z130),SUM(AA130:AI131),0))</f>
        <v>4</v>
      </c>
      <c r="AK130" s="872">
        <f>IF(AJ130="","",AJ130+AK128)</f>
        <v>108</v>
      </c>
      <c r="AL130" s="868">
        <f>IF(Z130="X",0,COUNT(AA130:AI131))</f>
        <v>1</v>
      </c>
    </row>
    <row r="131" spans="1:38" ht="16.5" customHeight="1">
      <c r="A131" s="877"/>
      <c r="B131" s="967"/>
      <c r="C131" s="861"/>
      <c r="D131" s="857"/>
      <c r="E131" s="857"/>
      <c r="F131" s="857"/>
      <c r="G131" s="891"/>
      <c r="H131" s="892"/>
      <c r="I131" s="867"/>
      <c r="J131" s="867"/>
      <c r="K131" s="867"/>
      <c r="L131" s="867"/>
      <c r="M131" s="867"/>
      <c r="N131" s="867"/>
      <c r="O131" s="867"/>
      <c r="P131" s="889"/>
      <c r="Q131" s="888"/>
      <c r="R131" s="872"/>
      <c r="S131" s="868"/>
      <c r="T131" s="968"/>
      <c r="U131" s="967"/>
      <c r="V131" s="861"/>
      <c r="W131" s="857"/>
      <c r="X131" s="857"/>
      <c r="Y131" s="857"/>
      <c r="Z131" s="891"/>
      <c r="AA131" s="892"/>
      <c r="AB131" s="867"/>
      <c r="AC131" s="867"/>
      <c r="AD131" s="867"/>
      <c r="AE131" s="867"/>
      <c r="AF131" s="867"/>
      <c r="AG131" s="867"/>
      <c r="AH131" s="867"/>
      <c r="AI131" s="889"/>
      <c r="AJ131" s="880"/>
      <c r="AK131" s="872"/>
      <c r="AL131" s="868"/>
    </row>
    <row r="132" spans="1:38" ht="16.5" customHeight="1">
      <c r="A132" s="855"/>
      <c r="B132" s="881"/>
      <c r="C132" s="855"/>
      <c r="D132" s="858"/>
      <c r="E132" s="858"/>
      <c r="F132" s="858"/>
      <c r="G132" s="860"/>
      <c r="H132" s="861"/>
      <c r="I132" s="857"/>
      <c r="J132" s="857"/>
      <c r="K132" s="857"/>
      <c r="L132" s="857"/>
      <c r="M132" s="857"/>
      <c r="N132" s="857"/>
      <c r="O132" s="857"/>
      <c r="P132" s="883"/>
      <c r="Q132" s="901" t="str">
        <f>IF(ISBLANK(A132),"",IF(ISBLANK(G132),SUM(H132:P133),0))</f>
        <v/>
      </c>
      <c r="R132" s="872" t="str">
        <f>IF(Q132="","",Q132+R130)</f>
        <v/>
      </c>
      <c r="S132" s="868">
        <f>IF(G132="X",0,COUNT(H132:P133))</f>
        <v>0</v>
      </c>
      <c r="T132" s="952"/>
      <c r="U132" s="881"/>
      <c r="V132" s="855"/>
      <c r="W132" s="858"/>
      <c r="X132" s="858"/>
      <c r="Y132" s="858"/>
      <c r="Z132" s="860"/>
      <c r="AA132" s="861"/>
      <c r="AB132" s="857"/>
      <c r="AC132" s="857"/>
      <c r="AD132" s="857"/>
      <c r="AE132" s="857"/>
      <c r="AF132" s="857"/>
      <c r="AG132" s="857"/>
      <c r="AH132" s="857"/>
      <c r="AI132" s="883"/>
      <c r="AJ132" s="873" t="str">
        <f>IF(ISBLANK(T132),"",IF(ISBLANK(Z132),SUM(AA132:AI133),0))</f>
        <v/>
      </c>
      <c r="AK132" s="872" t="str">
        <f>IF(AJ132="","",AJ132+AK130)</f>
        <v/>
      </c>
      <c r="AL132" s="868">
        <f>IF(Z132="X",0,COUNT(AA132:AI133))</f>
        <v>0</v>
      </c>
    </row>
    <row r="133" spans="1:38" ht="16.5" customHeight="1">
      <c r="A133" s="959"/>
      <c r="B133" s="881"/>
      <c r="C133" s="855"/>
      <c r="D133" s="858"/>
      <c r="E133" s="858"/>
      <c r="F133" s="858"/>
      <c r="G133" s="860"/>
      <c r="H133" s="861"/>
      <c r="I133" s="857"/>
      <c r="J133" s="857"/>
      <c r="K133" s="857"/>
      <c r="L133" s="857"/>
      <c r="M133" s="857"/>
      <c r="N133" s="857"/>
      <c r="O133" s="857"/>
      <c r="P133" s="883"/>
      <c r="Q133" s="902"/>
      <c r="R133" s="872"/>
      <c r="S133" s="868"/>
      <c r="T133" s="952"/>
      <c r="U133" s="881"/>
      <c r="V133" s="855"/>
      <c r="W133" s="858"/>
      <c r="X133" s="858"/>
      <c r="Y133" s="858"/>
      <c r="Z133" s="860"/>
      <c r="AA133" s="861"/>
      <c r="AB133" s="857"/>
      <c r="AC133" s="857"/>
      <c r="AD133" s="857"/>
      <c r="AE133" s="857"/>
      <c r="AF133" s="857"/>
      <c r="AG133" s="857"/>
      <c r="AH133" s="857"/>
      <c r="AI133" s="883"/>
      <c r="AJ133" s="884"/>
      <c r="AK133" s="872"/>
      <c r="AL133" s="868"/>
    </row>
    <row r="134" spans="1:38" ht="16.5" customHeight="1" thickBot="1">
      <c r="A134" s="865"/>
      <c r="B134" s="967"/>
      <c r="C134" s="861"/>
      <c r="D134" s="857"/>
      <c r="E134" s="857"/>
      <c r="F134" s="857"/>
      <c r="G134" s="891"/>
      <c r="H134" s="892"/>
      <c r="I134" s="867"/>
      <c r="J134" s="867"/>
      <c r="K134" s="867"/>
      <c r="L134" s="867"/>
      <c r="M134" s="867"/>
      <c r="N134" s="867"/>
      <c r="O134" s="867"/>
      <c r="P134" s="889"/>
      <c r="Q134" s="887" t="str">
        <f>IF(ISBLANK(A134),"",IF(ISBLANK(G134),SUM(H134:P135),0))</f>
        <v/>
      </c>
      <c r="R134" s="872" t="str">
        <f>IF(Q134="","",Q134+R132)</f>
        <v/>
      </c>
      <c r="S134" s="868">
        <f>IF(G134="X",0,COUNT(H134:P135))</f>
        <v>0</v>
      </c>
      <c r="T134" s="968"/>
      <c r="U134" s="967"/>
      <c r="V134" s="861"/>
      <c r="W134" s="857"/>
      <c r="X134" s="857"/>
      <c r="Y134" s="857"/>
      <c r="Z134" s="891"/>
      <c r="AA134" s="892"/>
      <c r="AB134" s="867"/>
      <c r="AC134" s="867"/>
      <c r="AD134" s="867"/>
      <c r="AE134" s="867"/>
      <c r="AF134" s="867"/>
      <c r="AG134" s="867"/>
      <c r="AH134" s="867"/>
      <c r="AI134" s="889"/>
      <c r="AJ134" s="888" t="str">
        <f>IF(ISBLANK(T134),"",IF(ISBLANK(Z134),SUM(AA134:AI135),0))</f>
        <v/>
      </c>
      <c r="AK134" s="872" t="str">
        <f>IF(AJ134="","",AJ134+AK132)</f>
        <v/>
      </c>
      <c r="AL134" s="868">
        <f>IF(Z134="X",0,COUNT(AA134:AI135))</f>
        <v>0</v>
      </c>
    </row>
    <row r="135" spans="1:38" ht="16.5" customHeight="1">
      <c r="A135" s="877"/>
      <c r="B135" s="967"/>
      <c r="C135" s="861"/>
      <c r="D135" s="857"/>
      <c r="E135" s="857"/>
      <c r="F135" s="857"/>
      <c r="G135" s="891"/>
      <c r="H135" s="892"/>
      <c r="I135" s="867"/>
      <c r="J135" s="867"/>
      <c r="K135" s="867"/>
      <c r="L135" s="867"/>
      <c r="M135" s="867"/>
      <c r="N135" s="867"/>
      <c r="O135" s="867"/>
      <c r="P135" s="889"/>
      <c r="Q135" s="888"/>
      <c r="R135" s="872"/>
      <c r="S135" s="868"/>
      <c r="T135" s="968"/>
      <c r="U135" s="967"/>
      <c r="V135" s="861"/>
      <c r="W135" s="857"/>
      <c r="X135" s="857"/>
      <c r="Y135" s="857"/>
      <c r="Z135" s="891"/>
      <c r="AA135" s="892"/>
      <c r="AB135" s="867"/>
      <c r="AC135" s="867"/>
      <c r="AD135" s="867"/>
      <c r="AE135" s="867"/>
      <c r="AF135" s="867"/>
      <c r="AG135" s="867"/>
      <c r="AH135" s="867"/>
      <c r="AI135" s="889"/>
      <c r="AJ135" s="880"/>
      <c r="AK135" s="872"/>
      <c r="AL135" s="868"/>
    </row>
    <row r="136" spans="1:38" ht="16.5" customHeight="1">
      <c r="A136" s="855"/>
      <c r="B136" s="881"/>
      <c r="C136" s="855"/>
      <c r="D136" s="858"/>
      <c r="E136" s="858"/>
      <c r="F136" s="858"/>
      <c r="G136" s="860"/>
      <c r="H136" s="861"/>
      <c r="I136" s="857"/>
      <c r="J136" s="857"/>
      <c r="K136" s="857"/>
      <c r="L136" s="857"/>
      <c r="M136" s="857"/>
      <c r="N136" s="857"/>
      <c r="O136" s="857"/>
      <c r="P136" s="883"/>
      <c r="Q136" s="901" t="str">
        <f>IF(ISBLANK(A136),"",IF(ISBLANK(G136),SUM(H136:P137),0))</f>
        <v/>
      </c>
      <c r="R136" s="872" t="str">
        <f>IF(Q136="","",Q136+R134)</f>
        <v/>
      </c>
      <c r="S136" s="868">
        <f>IF(G136="X",0,COUNT(H136:P137))</f>
        <v>0</v>
      </c>
      <c r="T136" s="952"/>
      <c r="U136" s="881"/>
      <c r="V136" s="855"/>
      <c r="W136" s="858"/>
      <c r="X136" s="858"/>
      <c r="Y136" s="858"/>
      <c r="Z136" s="860"/>
      <c r="AA136" s="861"/>
      <c r="AB136" s="857"/>
      <c r="AC136" s="857"/>
      <c r="AD136" s="857"/>
      <c r="AE136" s="857"/>
      <c r="AF136" s="857"/>
      <c r="AG136" s="857"/>
      <c r="AH136" s="857"/>
      <c r="AI136" s="883"/>
      <c r="AJ136" s="873" t="str">
        <f>IF(ISBLANK(T136),"",IF(ISBLANK(Z136),SUM(AA136:AI137),0))</f>
        <v/>
      </c>
      <c r="AK136" s="872" t="str">
        <f>IF(AJ136="","",AJ136+AK134)</f>
        <v/>
      </c>
      <c r="AL136" s="868">
        <f>IF(Z136="X",0,COUNT(AA136:AI137))</f>
        <v>0</v>
      </c>
    </row>
    <row r="137" spans="1:38" ht="16.5" customHeight="1">
      <c r="A137" s="959"/>
      <c r="B137" s="881"/>
      <c r="C137" s="855"/>
      <c r="D137" s="858"/>
      <c r="E137" s="858"/>
      <c r="F137" s="858"/>
      <c r="G137" s="860"/>
      <c r="H137" s="861"/>
      <c r="I137" s="857"/>
      <c r="J137" s="857"/>
      <c r="K137" s="857"/>
      <c r="L137" s="857"/>
      <c r="M137" s="857"/>
      <c r="N137" s="857"/>
      <c r="O137" s="857"/>
      <c r="P137" s="883"/>
      <c r="Q137" s="902"/>
      <c r="R137" s="872"/>
      <c r="S137" s="868"/>
      <c r="T137" s="952"/>
      <c r="U137" s="881"/>
      <c r="V137" s="855"/>
      <c r="W137" s="858"/>
      <c r="X137" s="858"/>
      <c r="Y137" s="858"/>
      <c r="Z137" s="860"/>
      <c r="AA137" s="861"/>
      <c r="AB137" s="857"/>
      <c r="AC137" s="857"/>
      <c r="AD137" s="857"/>
      <c r="AE137" s="857"/>
      <c r="AF137" s="857"/>
      <c r="AG137" s="857"/>
      <c r="AH137" s="857"/>
      <c r="AI137" s="883"/>
      <c r="AJ137" s="884"/>
      <c r="AK137" s="872"/>
      <c r="AL137" s="868"/>
    </row>
    <row r="138" spans="1:38" ht="16.5" customHeight="1" thickBot="1">
      <c r="A138" s="865"/>
      <c r="B138" s="967"/>
      <c r="C138" s="861"/>
      <c r="D138" s="857"/>
      <c r="E138" s="857"/>
      <c r="F138" s="857"/>
      <c r="G138" s="891"/>
      <c r="H138" s="892"/>
      <c r="I138" s="867"/>
      <c r="J138" s="867"/>
      <c r="K138" s="867"/>
      <c r="L138" s="867"/>
      <c r="M138" s="867"/>
      <c r="N138" s="867"/>
      <c r="O138" s="867"/>
      <c r="P138" s="889"/>
      <c r="Q138" s="887" t="str">
        <f>IF(ISBLANK(A138),"",IF(ISBLANK(G138),SUM(H138:P139),0))</f>
        <v/>
      </c>
      <c r="R138" s="872" t="str">
        <f>IF(Q138="","",Q138+R136)</f>
        <v/>
      </c>
      <c r="S138" s="868">
        <f>IF(G138="X",0,COUNT(H138:P139))</f>
        <v>0</v>
      </c>
      <c r="T138" s="968"/>
      <c r="U138" s="967"/>
      <c r="V138" s="861"/>
      <c r="W138" s="857"/>
      <c r="X138" s="857"/>
      <c r="Y138" s="857"/>
      <c r="Z138" s="891"/>
      <c r="AA138" s="892"/>
      <c r="AB138" s="867"/>
      <c r="AC138" s="867"/>
      <c r="AD138" s="867"/>
      <c r="AE138" s="867"/>
      <c r="AF138" s="867"/>
      <c r="AG138" s="867"/>
      <c r="AH138" s="867"/>
      <c r="AI138" s="889"/>
      <c r="AJ138" s="888" t="str">
        <f>IF(ISBLANK(T138),"",IF(ISBLANK(Z138),SUM(AA138:AI139),0))</f>
        <v/>
      </c>
      <c r="AK138" s="872" t="str">
        <f>IF(AJ138="","",AJ138+AK136)</f>
        <v/>
      </c>
      <c r="AL138" s="868">
        <f>IF(Z138="X",0,COUNT(AA138:AI139))</f>
        <v>0</v>
      </c>
    </row>
    <row r="139" spans="1:38" ht="16.5" customHeight="1">
      <c r="A139" s="877"/>
      <c r="B139" s="967"/>
      <c r="C139" s="861"/>
      <c r="D139" s="857"/>
      <c r="E139" s="857"/>
      <c r="F139" s="857"/>
      <c r="G139" s="891"/>
      <c r="H139" s="892"/>
      <c r="I139" s="867"/>
      <c r="J139" s="867"/>
      <c r="K139" s="867"/>
      <c r="L139" s="867"/>
      <c r="M139" s="867"/>
      <c r="N139" s="867"/>
      <c r="O139" s="867"/>
      <c r="P139" s="889"/>
      <c r="Q139" s="888"/>
      <c r="R139" s="872"/>
      <c r="S139" s="868"/>
      <c r="T139" s="968"/>
      <c r="U139" s="967"/>
      <c r="V139" s="861"/>
      <c r="W139" s="857"/>
      <c r="X139" s="857"/>
      <c r="Y139" s="857"/>
      <c r="Z139" s="891"/>
      <c r="AA139" s="892"/>
      <c r="AB139" s="867"/>
      <c r="AC139" s="867"/>
      <c r="AD139" s="867"/>
      <c r="AE139" s="867"/>
      <c r="AF139" s="867"/>
      <c r="AG139" s="867"/>
      <c r="AH139" s="867"/>
      <c r="AI139" s="889"/>
      <c r="AJ139" s="880"/>
      <c r="AK139" s="872"/>
      <c r="AL139" s="868"/>
    </row>
    <row r="140" spans="1:38" ht="16.5" customHeight="1">
      <c r="A140" s="855"/>
      <c r="B140" s="881"/>
      <c r="C140" s="855"/>
      <c r="D140" s="858"/>
      <c r="E140" s="858"/>
      <c r="F140" s="858"/>
      <c r="G140" s="860"/>
      <c r="H140" s="861"/>
      <c r="I140" s="857"/>
      <c r="J140" s="857"/>
      <c r="K140" s="857"/>
      <c r="L140" s="857"/>
      <c r="M140" s="857"/>
      <c r="N140" s="857"/>
      <c r="O140" s="857"/>
      <c r="P140" s="883"/>
      <c r="Q140" s="901" t="str">
        <f>IF(ISBLANK(A140),"",IF(ISBLANK(G140),SUM(H140:P141),0))</f>
        <v/>
      </c>
      <c r="R140" s="872" t="str">
        <f>IF(Q140="","",Q140+R138)</f>
        <v/>
      </c>
      <c r="S140" s="868">
        <f>IF(G140="X",0,COUNT(H140:P141))</f>
        <v>0</v>
      </c>
      <c r="T140" s="952"/>
      <c r="U140" s="881"/>
      <c r="V140" s="855"/>
      <c r="W140" s="858"/>
      <c r="X140" s="858"/>
      <c r="Y140" s="858"/>
      <c r="Z140" s="860"/>
      <c r="AA140" s="861"/>
      <c r="AB140" s="857"/>
      <c r="AC140" s="857"/>
      <c r="AD140" s="857"/>
      <c r="AE140" s="857"/>
      <c r="AF140" s="857"/>
      <c r="AG140" s="857"/>
      <c r="AH140" s="857"/>
      <c r="AI140" s="883"/>
      <c r="AJ140" s="873" t="str">
        <f>IF(ISBLANK(T140),"",IF(ISBLANK(Z140),SUM(AA140:AI141),0))</f>
        <v/>
      </c>
      <c r="AK140" s="872" t="str">
        <f>IF(AJ140="","",AJ140+AK138)</f>
        <v/>
      </c>
      <c r="AL140" s="868">
        <f>IF(Z140="X",0,COUNT(AA140:AI141))</f>
        <v>0</v>
      </c>
    </row>
    <row r="141" spans="1:38" ht="16.5" customHeight="1">
      <c r="A141" s="959"/>
      <c r="B141" s="881"/>
      <c r="C141" s="855"/>
      <c r="D141" s="858"/>
      <c r="E141" s="858"/>
      <c r="F141" s="858"/>
      <c r="G141" s="860"/>
      <c r="H141" s="861"/>
      <c r="I141" s="857"/>
      <c r="J141" s="857"/>
      <c r="K141" s="857"/>
      <c r="L141" s="857"/>
      <c r="M141" s="857"/>
      <c r="N141" s="857"/>
      <c r="O141" s="857"/>
      <c r="P141" s="883"/>
      <c r="Q141" s="902"/>
      <c r="R141" s="872"/>
      <c r="S141" s="868"/>
      <c r="T141" s="952"/>
      <c r="U141" s="881"/>
      <c r="V141" s="855"/>
      <c r="W141" s="858"/>
      <c r="X141" s="858"/>
      <c r="Y141" s="858"/>
      <c r="Z141" s="860"/>
      <c r="AA141" s="861"/>
      <c r="AB141" s="857"/>
      <c r="AC141" s="857"/>
      <c r="AD141" s="857"/>
      <c r="AE141" s="857"/>
      <c r="AF141" s="857"/>
      <c r="AG141" s="857"/>
      <c r="AH141" s="857"/>
      <c r="AI141" s="883"/>
      <c r="AJ141" s="884"/>
      <c r="AK141" s="872"/>
      <c r="AL141" s="868"/>
    </row>
    <row r="142" spans="1:38" ht="16.5" customHeight="1" thickBot="1">
      <c r="A142" s="865"/>
      <c r="B142" s="967"/>
      <c r="C142" s="861"/>
      <c r="D142" s="857"/>
      <c r="E142" s="857"/>
      <c r="F142" s="857"/>
      <c r="G142" s="891"/>
      <c r="H142" s="892"/>
      <c r="I142" s="867"/>
      <c r="J142" s="867"/>
      <c r="K142" s="867"/>
      <c r="L142" s="867"/>
      <c r="M142" s="867"/>
      <c r="N142" s="867"/>
      <c r="O142" s="867"/>
      <c r="P142" s="889"/>
      <c r="Q142" s="887" t="str">
        <f>IF(ISBLANK(A142),"",IF(ISBLANK(G142),SUM(H142:P143),0))</f>
        <v/>
      </c>
      <c r="R142" s="872" t="str">
        <f>IF(Q142="","",Q142+R140)</f>
        <v/>
      </c>
      <c r="S142" s="868">
        <f>IF(G142="X",0,COUNT(H142:P143))</f>
        <v>0</v>
      </c>
      <c r="T142" s="968"/>
      <c r="U142" s="967"/>
      <c r="V142" s="861"/>
      <c r="W142" s="857"/>
      <c r="X142" s="857"/>
      <c r="Y142" s="857"/>
      <c r="Z142" s="891"/>
      <c r="AA142" s="892"/>
      <c r="AB142" s="867"/>
      <c r="AC142" s="867"/>
      <c r="AD142" s="867"/>
      <c r="AE142" s="867"/>
      <c r="AF142" s="867"/>
      <c r="AG142" s="867"/>
      <c r="AH142" s="867"/>
      <c r="AI142" s="889"/>
      <c r="AJ142" s="888" t="str">
        <f>IF(ISBLANK(T142),"",IF(ISBLANK(Z142),SUM(AA142:AI143),0))</f>
        <v/>
      </c>
      <c r="AK142" s="872" t="str">
        <f>IF(AJ142="","",AJ142+AK140)</f>
        <v/>
      </c>
      <c r="AL142" s="868">
        <f>IF(Z142="X",0,COUNT(AA142:AI143))</f>
        <v>0</v>
      </c>
    </row>
    <row r="143" spans="1:38" ht="16.5" customHeight="1">
      <c r="A143" s="877"/>
      <c r="B143" s="967"/>
      <c r="C143" s="861"/>
      <c r="D143" s="857"/>
      <c r="E143" s="857"/>
      <c r="F143" s="857"/>
      <c r="G143" s="891"/>
      <c r="H143" s="892"/>
      <c r="I143" s="867"/>
      <c r="J143" s="867"/>
      <c r="K143" s="867"/>
      <c r="L143" s="867"/>
      <c r="M143" s="867"/>
      <c r="N143" s="867"/>
      <c r="O143" s="867"/>
      <c r="P143" s="889"/>
      <c r="Q143" s="888"/>
      <c r="R143" s="872"/>
      <c r="S143" s="868"/>
      <c r="T143" s="968"/>
      <c r="U143" s="967"/>
      <c r="V143" s="861"/>
      <c r="W143" s="857"/>
      <c r="X143" s="857"/>
      <c r="Y143" s="857"/>
      <c r="Z143" s="891"/>
      <c r="AA143" s="892"/>
      <c r="AB143" s="867"/>
      <c r="AC143" s="867"/>
      <c r="AD143" s="867"/>
      <c r="AE143" s="867"/>
      <c r="AF143" s="867"/>
      <c r="AG143" s="867"/>
      <c r="AH143" s="867"/>
      <c r="AI143" s="889"/>
      <c r="AJ143" s="880"/>
      <c r="AK143" s="872"/>
      <c r="AL143" s="868"/>
    </row>
    <row r="144" spans="1:38" ht="16.5" customHeight="1">
      <c r="A144" s="855"/>
      <c r="B144" s="881"/>
      <c r="C144" s="855"/>
      <c r="D144" s="858"/>
      <c r="E144" s="858"/>
      <c r="F144" s="858"/>
      <c r="G144" s="860"/>
      <c r="H144" s="861"/>
      <c r="I144" s="857"/>
      <c r="J144" s="857"/>
      <c r="K144" s="857"/>
      <c r="L144" s="857"/>
      <c r="M144" s="857"/>
      <c r="N144" s="857"/>
      <c r="O144" s="857"/>
      <c r="P144" s="883"/>
      <c r="Q144" s="901" t="str">
        <f>IF(ISBLANK(A144),"",IF(ISBLANK(G144),SUM(H144:P145),0))</f>
        <v/>
      </c>
      <c r="R144" s="872" t="str">
        <f>IF(Q144="","",Q144+R142)</f>
        <v/>
      </c>
      <c r="S144" s="868">
        <f>IF(G144="X",0,COUNT(H144:P145))</f>
        <v>0</v>
      </c>
      <c r="T144" s="952"/>
      <c r="U144" s="881"/>
      <c r="V144" s="855"/>
      <c r="W144" s="858"/>
      <c r="X144" s="858"/>
      <c r="Y144" s="858"/>
      <c r="Z144" s="860"/>
      <c r="AA144" s="861"/>
      <c r="AB144" s="857"/>
      <c r="AC144" s="857"/>
      <c r="AD144" s="857"/>
      <c r="AE144" s="857"/>
      <c r="AF144" s="857"/>
      <c r="AG144" s="857"/>
      <c r="AH144" s="857"/>
      <c r="AI144" s="883"/>
      <c r="AJ144" s="873" t="str">
        <f>IF(ISBLANK(T144),"",IF(ISBLANK(Z144),SUM(AA144:AI145),0))</f>
        <v/>
      </c>
      <c r="AK144" s="872" t="str">
        <f>IF(AJ144="","",AJ144+AK142)</f>
        <v/>
      </c>
      <c r="AL144" s="868">
        <f>IF(Z144="X",0,COUNT(AA144:AI145))</f>
        <v>0</v>
      </c>
    </row>
    <row r="145" spans="1:38" ht="16.5" customHeight="1">
      <c r="A145" s="959"/>
      <c r="B145" s="881"/>
      <c r="C145" s="855"/>
      <c r="D145" s="858"/>
      <c r="E145" s="858"/>
      <c r="F145" s="858"/>
      <c r="G145" s="860"/>
      <c r="H145" s="861"/>
      <c r="I145" s="857"/>
      <c r="J145" s="857"/>
      <c r="K145" s="857"/>
      <c r="L145" s="857"/>
      <c r="M145" s="857"/>
      <c r="N145" s="857"/>
      <c r="O145" s="857"/>
      <c r="P145" s="883"/>
      <c r="Q145" s="902"/>
      <c r="R145" s="872"/>
      <c r="S145" s="868"/>
      <c r="T145" s="952"/>
      <c r="U145" s="881"/>
      <c r="V145" s="855"/>
      <c r="W145" s="858"/>
      <c r="X145" s="858"/>
      <c r="Y145" s="858"/>
      <c r="Z145" s="860"/>
      <c r="AA145" s="861"/>
      <c r="AB145" s="857"/>
      <c r="AC145" s="857"/>
      <c r="AD145" s="857"/>
      <c r="AE145" s="857"/>
      <c r="AF145" s="857"/>
      <c r="AG145" s="857"/>
      <c r="AH145" s="857"/>
      <c r="AI145" s="883"/>
      <c r="AJ145" s="884"/>
      <c r="AK145" s="872"/>
      <c r="AL145" s="868"/>
    </row>
    <row r="146" spans="1:38" ht="16.5" customHeight="1" thickBot="1">
      <c r="A146" s="865"/>
      <c r="B146" s="967"/>
      <c r="C146" s="861"/>
      <c r="D146" s="857"/>
      <c r="E146" s="857"/>
      <c r="F146" s="857"/>
      <c r="G146" s="891"/>
      <c r="H146" s="892"/>
      <c r="I146" s="867"/>
      <c r="J146" s="867"/>
      <c r="K146" s="867"/>
      <c r="L146" s="867"/>
      <c r="M146" s="867"/>
      <c r="N146" s="867"/>
      <c r="O146" s="867"/>
      <c r="P146" s="889"/>
      <c r="Q146" s="887" t="str">
        <f>IF(ISBLANK(A146),"",IF(ISBLANK(G146),SUM(H146:P147),0))</f>
        <v/>
      </c>
      <c r="R146" s="872" t="str">
        <f>IF(Q146="","",Q146+R144)</f>
        <v/>
      </c>
      <c r="S146" s="868">
        <f>IF(G146="X",0,COUNT(H146:P147))</f>
        <v>0</v>
      </c>
      <c r="T146" s="968"/>
      <c r="U146" s="967"/>
      <c r="V146" s="861"/>
      <c r="W146" s="857"/>
      <c r="X146" s="857"/>
      <c r="Y146" s="857"/>
      <c r="Z146" s="891"/>
      <c r="AA146" s="892"/>
      <c r="AB146" s="867"/>
      <c r="AC146" s="867"/>
      <c r="AD146" s="867"/>
      <c r="AE146" s="867"/>
      <c r="AF146" s="867"/>
      <c r="AG146" s="867"/>
      <c r="AH146" s="867"/>
      <c r="AI146" s="889"/>
      <c r="AJ146" s="888" t="str">
        <f>IF(ISBLANK(T146),"",IF(ISBLANK(Z146),SUM(AA146:AI147),0))</f>
        <v/>
      </c>
      <c r="AK146" s="872" t="str">
        <f>IF(AJ146="","",AJ146+AK144)</f>
        <v/>
      </c>
      <c r="AL146" s="868">
        <f>IF(Z146="X",0,COUNT(AA146:AI147))</f>
        <v>0</v>
      </c>
    </row>
    <row r="147" spans="1:38" ht="16.5" customHeight="1">
      <c r="A147" s="877"/>
      <c r="B147" s="967"/>
      <c r="C147" s="861"/>
      <c r="D147" s="857"/>
      <c r="E147" s="857"/>
      <c r="F147" s="857"/>
      <c r="G147" s="891"/>
      <c r="H147" s="892"/>
      <c r="I147" s="867"/>
      <c r="J147" s="867"/>
      <c r="K147" s="867"/>
      <c r="L147" s="867"/>
      <c r="M147" s="867"/>
      <c r="N147" s="867"/>
      <c r="O147" s="867"/>
      <c r="P147" s="889"/>
      <c r="Q147" s="888"/>
      <c r="R147" s="872"/>
      <c r="S147" s="868"/>
      <c r="T147" s="968"/>
      <c r="U147" s="967"/>
      <c r="V147" s="861"/>
      <c r="W147" s="857"/>
      <c r="X147" s="857"/>
      <c r="Y147" s="857"/>
      <c r="Z147" s="891"/>
      <c r="AA147" s="892"/>
      <c r="AB147" s="867"/>
      <c r="AC147" s="867"/>
      <c r="AD147" s="867"/>
      <c r="AE147" s="867"/>
      <c r="AF147" s="867"/>
      <c r="AG147" s="867"/>
      <c r="AH147" s="867"/>
      <c r="AI147" s="889"/>
      <c r="AJ147" s="880"/>
      <c r="AK147" s="872"/>
      <c r="AL147" s="868"/>
    </row>
    <row r="148" spans="1:38" ht="16.5" customHeight="1">
      <c r="A148" s="855"/>
      <c r="B148" s="881"/>
      <c r="C148" s="855"/>
      <c r="D148" s="858"/>
      <c r="E148" s="858"/>
      <c r="F148" s="858"/>
      <c r="G148" s="860"/>
      <c r="H148" s="861"/>
      <c r="I148" s="857"/>
      <c r="J148" s="857"/>
      <c r="K148" s="857"/>
      <c r="L148" s="857"/>
      <c r="M148" s="857"/>
      <c r="N148" s="857"/>
      <c r="O148" s="857"/>
      <c r="P148" s="883"/>
      <c r="Q148" s="901" t="str">
        <f>IF(ISBLANK(A148),"",IF(ISBLANK(G148),SUM(H148:P149),0))</f>
        <v/>
      </c>
      <c r="R148" s="872" t="str">
        <f>IF(Q148="","",Q148+R146)</f>
        <v/>
      </c>
      <c r="S148" s="868">
        <f>IF(G148="X",0,COUNT(H148:P149))</f>
        <v>0</v>
      </c>
      <c r="T148" s="952"/>
      <c r="U148" s="881"/>
      <c r="V148" s="855"/>
      <c r="W148" s="858"/>
      <c r="X148" s="858"/>
      <c r="Y148" s="858"/>
      <c r="Z148" s="860"/>
      <c r="AA148" s="861"/>
      <c r="AB148" s="857"/>
      <c r="AC148" s="857"/>
      <c r="AD148" s="857"/>
      <c r="AE148" s="857"/>
      <c r="AF148" s="857"/>
      <c r="AG148" s="857"/>
      <c r="AH148" s="857"/>
      <c r="AI148" s="883"/>
      <c r="AJ148" s="873" t="str">
        <f>IF(ISBLANK(T148),"",IF(ISBLANK(Z148),SUM(AA148:AI149),0))</f>
        <v/>
      </c>
      <c r="AK148" s="872" t="str">
        <f>IF(AJ148="","",AJ148+AK146)</f>
        <v/>
      </c>
      <c r="AL148" s="868">
        <f>IF(Z148="X",0,COUNT(AA148:AI149))</f>
        <v>0</v>
      </c>
    </row>
    <row r="149" spans="1:38" ht="16.5" customHeight="1">
      <c r="A149" s="959"/>
      <c r="B149" s="881"/>
      <c r="C149" s="855"/>
      <c r="D149" s="858"/>
      <c r="E149" s="858"/>
      <c r="F149" s="858"/>
      <c r="G149" s="860"/>
      <c r="H149" s="861"/>
      <c r="I149" s="857"/>
      <c r="J149" s="857"/>
      <c r="K149" s="857"/>
      <c r="L149" s="857"/>
      <c r="M149" s="857"/>
      <c r="N149" s="857"/>
      <c r="O149" s="857"/>
      <c r="P149" s="883"/>
      <c r="Q149" s="902"/>
      <c r="R149" s="872"/>
      <c r="S149" s="868"/>
      <c r="T149" s="952"/>
      <c r="U149" s="881"/>
      <c r="V149" s="855"/>
      <c r="W149" s="858"/>
      <c r="X149" s="858"/>
      <c r="Y149" s="858"/>
      <c r="Z149" s="860"/>
      <c r="AA149" s="861"/>
      <c r="AB149" s="857"/>
      <c r="AC149" s="857"/>
      <c r="AD149" s="857"/>
      <c r="AE149" s="857"/>
      <c r="AF149" s="857"/>
      <c r="AG149" s="857"/>
      <c r="AH149" s="857"/>
      <c r="AI149" s="883"/>
      <c r="AJ149" s="884"/>
      <c r="AK149" s="872"/>
      <c r="AL149" s="868"/>
    </row>
    <row r="150" spans="1:38" ht="16.5" customHeight="1" thickBot="1">
      <c r="A150" s="865"/>
      <c r="B150" s="967"/>
      <c r="C150" s="861"/>
      <c r="D150" s="857"/>
      <c r="E150" s="857"/>
      <c r="F150" s="857"/>
      <c r="G150" s="891"/>
      <c r="H150" s="892"/>
      <c r="I150" s="867"/>
      <c r="J150" s="867"/>
      <c r="K150" s="867"/>
      <c r="L150" s="867"/>
      <c r="M150" s="867"/>
      <c r="N150" s="867"/>
      <c r="O150" s="867"/>
      <c r="P150" s="889"/>
      <c r="Q150" s="887" t="str">
        <f>IF(ISBLANK(A150),"",IF(ISBLANK(G150),SUM(H150:P151),0))</f>
        <v/>
      </c>
      <c r="R150" s="872" t="str">
        <f>IF(Q150="","",Q150+R148)</f>
        <v/>
      </c>
      <c r="S150" s="868">
        <f>IF(G150="X",0,COUNT(H150:P151))</f>
        <v>0</v>
      </c>
      <c r="T150" s="968"/>
      <c r="U150" s="967"/>
      <c r="V150" s="861"/>
      <c r="W150" s="857"/>
      <c r="X150" s="857"/>
      <c r="Y150" s="857"/>
      <c r="Z150" s="891"/>
      <c r="AA150" s="892"/>
      <c r="AB150" s="867"/>
      <c r="AC150" s="867"/>
      <c r="AD150" s="867"/>
      <c r="AE150" s="867"/>
      <c r="AF150" s="867"/>
      <c r="AG150" s="867"/>
      <c r="AH150" s="867"/>
      <c r="AI150" s="889"/>
      <c r="AJ150" s="888" t="str">
        <f>IF(ISBLANK(T150),"",IF(ISBLANK(Z150),SUM(AA150:AI151),0))</f>
        <v/>
      </c>
      <c r="AK150" s="872" t="str">
        <f>IF(AJ150="","",AJ150+AK148)</f>
        <v/>
      </c>
      <c r="AL150" s="868">
        <f>IF(Z150="X",0,COUNT(AA150:AI151))</f>
        <v>0</v>
      </c>
    </row>
    <row r="151" spans="1:38" ht="16.5" customHeight="1">
      <c r="A151" s="877"/>
      <c r="B151" s="967"/>
      <c r="C151" s="861"/>
      <c r="D151" s="857"/>
      <c r="E151" s="857"/>
      <c r="F151" s="857"/>
      <c r="G151" s="891"/>
      <c r="H151" s="892"/>
      <c r="I151" s="867"/>
      <c r="J151" s="867"/>
      <c r="K151" s="867"/>
      <c r="L151" s="867"/>
      <c r="M151" s="867"/>
      <c r="N151" s="867"/>
      <c r="O151" s="867"/>
      <c r="P151" s="889"/>
      <c r="Q151" s="888"/>
      <c r="R151" s="872"/>
      <c r="S151" s="868"/>
      <c r="T151" s="968"/>
      <c r="U151" s="967"/>
      <c r="V151" s="861"/>
      <c r="W151" s="857"/>
      <c r="X151" s="857"/>
      <c r="Y151" s="857"/>
      <c r="Z151" s="891"/>
      <c r="AA151" s="892"/>
      <c r="AB151" s="867"/>
      <c r="AC151" s="867"/>
      <c r="AD151" s="867"/>
      <c r="AE151" s="867"/>
      <c r="AF151" s="867"/>
      <c r="AG151" s="867"/>
      <c r="AH151" s="867"/>
      <c r="AI151" s="889"/>
      <c r="AJ151" s="880"/>
      <c r="AK151" s="872"/>
      <c r="AL151" s="868"/>
    </row>
    <row r="152" spans="1:38" ht="16.5" customHeight="1">
      <c r="A152" s="855"/>
      <c r="B152" s="881"/>
      <c r="C152" s="855"/>
      <c r="D152" s="858"/>
      <c r="E152" s="858"/>
      <c r="F152" s="858"/>
      <c r="G152" s="860"/>
      <c r="H152" s="861"/>
      <c r="I152" s="857"/>
      <c r="J152" s="857"/>
      <c r="K152" s="857"/>
      <c r="L152" s="857"/>
      <c r="M152" s="857"/>
      <c r="N152" s="857"/>
      <c r="O152" s="857"/>
      <c r="P152" s="883"/>
      <c r="Q152" s="901" t="str">
        <f>IF(ISBLANK(A152),"",IF(ISBLANK(G152),SUM(H152:P153),0))</f>
        <v/>
      </c>
      <c r="R152" s="872" t="str">
        <f>IF(Q152="","",Q152+R150)</f>
        <v/>
      </c>
      <c r="S152" s="868">
        <f>IF(G152="X",0,COUNT(H152:P153))</f>
        <v>0</v>
      </c>
      <c r="T152" s="952"/>
      <c r="U152" s="881"/>
      <c r="V152" s="855"/>
      <c r="W152" s="858"/>
      <c r="X152" s="858"/>
      <c r="Y152" s="858"/>
      <c r="Z152" s="860"/>
      <c r="AA152" s="861"/>
      <c r="AB152" s="857"/>
      <c r="AC152" s="857"/>
      <c r="AD152" s="857"/>
      <c r="AE152" s="857"/>
      <c r="AF152" s="857"/>
      <c r="AG152" s="857"/>
      <c r="AH152" s="857"/>
      <c r="AI152" s="883"/>
      <c r="AJ152" s="873" t="str">
        <f>IF(ISBLANK(T152),"",IF(ISBLANK(Z152),SUM(AA152:AI153),0))</f>
        <v/>
      </c>
      <c r="AK152" s="872" t="str">
        <f>IF(AJ152="","",AJ152+AK150)</f>
        <v/>
      </c>
      <c r="AL152" s="868">
        <f>IF(Z152="X",0,COUNT(AA152:AI153))</f>
        <v>0</v>
      </c>
    </row>
    <row r="153" spans="1:38" ht="16.5" customHeight="1">
      <c r="A153" s="959"/>
      <c r="B153" s="881"/>
      <c r="C153" s="855"/>
      <c r="D153" s="858"/>
      <c r="E153" s="858"/>
      <c r="F153" s="858"/>
      <c r="G153" s="860"/>
      <c r="H153" s="861"/>
      <c r="I153" s="857"/>
      <c r="J153" s="857"/>
      <c r="K153" s="857"/>
      <c r="L153" s="857"/>
      <c r="M153" s="857"/>
      <c r="N153" s="857"/>
      <c r="O153" s="857"/>
      <c r="P153" s="883"/>
      <c r="Q153" s="902"/>
      <c r="R153" s="872"/>
      <c r="S153" s="868"/>
      <c r="T153" s="952"/>
      <c r="U153" s="881"/>
      <c r="V153" s="855"/>
      <c r="W153" s="858"/>
      <c r="X153" s="858"/>
      <c r="Y153" s="858"/>
      <c r="Z153" s="860"/>
      <c r="AA153" s="861"/>
      <c r="AB153" s="857"/>
      <c r="AC153" s="857"/>
      <c r="AD153" s="857"/>
      <c r="AE153" s="857"/>
      <c r="AF153" s="857"/>
      <c r="AG153" s="857"/>
      <c r="AH153" s="857"/>
      <c r="AI153" s="883"/>
      <c r="AJ153" s="884"/>
      <c r="AK153" s="872"/>
      <c r="AL153" s="868"/>
    </row>
    <row r="154" spans="1:38" ht="16.5" customHeight="1" thickBot="1">
      <c r="A154" s="865"/>
      <c r="B154" s="967"/>
      <c r="C154" s="861"/>
      <c r="D154" s="857"/>
      <c r="E154" s="857"/>
      <c r="F154" s="857"/>
      <c r="G154" s="891"/>
      <c r="H154" s="892"/>
      <c r="I154" s="867"/>
      <c r="J154" s="867"/>
      <c r="K154" s="867"/>
      <c r="L154" s="867"/>
      <c r="M154" s="867"/>
      <c r="N154" s="867"/>
      <c r="O154" s="867"/>
      <c r="P154" s="889"/>
      <c r="Q154" s="887" t="str">
        <f>IF(ISBLANK(A154),"",IF(ISBLANK(G154),SUM(H154:P155),0))</f>
        <v/>
      </c>
      <c r="R154" s="872" t="str">
        <f>IF(Q154="","",Q154+R152)</f>
        <v/>
      </c>
      <c r="S154" s="868">
        <f>IF(G154="X",0,COUNT(H154:P155))</f>
        <v>0</v>
      </c>
      <c r="T154" s="968"/>
      <c r="U154" s="967"/>
      <c r="V154" s="861"/>
      <c r="W154" s="857"/>
      <c r="X154" s="857"/>
      <c r="Y154" s="857"/>
      <c r="Z154" s="891"/>
      <c r="AA154" s="892"/>
      <c r="AB154" s="867"/>
      <c r="AC154" s="867"/>
      <c r="AD154" s="867"/>
      <c r="AE154" s="867"/>
      <c r="AF154" s="867"/>
      <c r="AG154" s="867"/>
      <c r="AH154" s="867"/>
      <c r="AI154" s="889"/>
      <c r="AJ154" s="888" t="str">
        <f>IF(ISBLANK(T154),"",IF(ISBLANK(Z154),SUM(AA154:AI155),0))</f>
        <v/>
      </c>
      <c r="AK154" s="872" t="str">
        <f>IF(AJ154="","",AJ154+AK152)</f>
        <v/>
      </c>
      <c r="AL154" s="868">
        <f>IF(Z154="X",0,COUNT(AA154:AI155))</f>
        <v>0</v>
      </c>
    </row>
    <row r="155" spans="1:38" ht="16.5" customHeight="1">
      <c r="A155" s="877"/>
      <c r="B155" s="967"/>
      <c r="C155" s="861"/>
      <c r="D155" s="857"/>
      <c r="E155" s="857"/>
      <c r="F155" s="857"/>
      <c r="G155" s="891"/>
      <c r="H155" s="892"/>
      <c r="I155" s="867"/>
      <c r="J155" s="867"/>
      <c r="K155" s="867"/>
      <c r="L155" s="867"/>
      <c r="M155" s="867"/>
      <c r="N155" s="867"/>
      <c r="O155" s="867"/>
      <c r="P155" s="889"/>
      <c r="Q155" s="888"/>
      <c r="R155" s="872"/>
      <c r="S155" s="868"/>
      <c r="T155" s="968"/>
      <c r="U155" s="967"/>
      <c r="V155" s="861"/>
      <c r="W155" s="857"/>
      <c r="X155" s="857"/>
      <c r="Y155" s="857"/>
      <c r="Z155" s="891"/>
      <c r="AA155" s="892"/>
      <c r="AB155" s="867"/>
      <c r="AC155" s="867"/>
      <c r="AD155" s="867"/>
      <c r="AE155" s="867"/>
      <c r="AF155" s="867"/>
      <c r="AG155" s="867"/>
      <c r="AH155" s="867"/>
      <c r="AI155" s="889"/>
      <c r="AJ155" s="880"/>
      <c r="AK155" s="872"/>
      <c r="AL155" s="868"/>
    </row>
    <row r="156" spans="1:38" ht="16.5" customHeight="1">
      <c r="A156" s="855"/>
      <c r="B156" s="881"/>
      <c r="C156" s="855"/>
      <c r="D156" s="858"/>
      <c r="E156" s="858"/>
      <c r="F156" s="858"/>
      <c r="G156" s="860"/>
      <c r="H156" s="861"/>
      <c r="I156" s="857"/>
      <c r="J156" s="857"/>
      <c r="K156" s="857"/>
      <c r="L156" s="857"/>
      <c r="M156" s="857"/>
      <c r="N156" s="857"/>
      <c r="O156" s="857"/>
      <c r="P156" s="883"/>
      <c r="Q156" s="901" t="str">
        <f>IF(ISBLANK(A156),"",IF(ISBLANK(G156),SUM(H156:P157),0))</f>
        <v/>
      </c>
      <c r="R156" s="872" t="str">
        <f>IF(Q156="","",Q156+R154)</f>
        <v/>
      </c>
      <c r="S156" s="868">
        <f>IF(G156="X",0,COUNT(H156:P157))</f>
        <v>0</v>
      </c>
      <c r="T156" s="952"/>
      <c r="U156" s="881"/>
      <c r="V156" s="855"/>
      <c r="W156" s="858"/>
      <c r="X156" s="858"/>
      <c r="Y156" s="858"/>
      <c r="Z156" s="860"/>
      <c r="AA156" s="861"/>
      <c r="AB156" s="857"/>
      <c r="AC156" s="857"/>
      <c r="AD156" s="857"/>
      <c r="AE156" s="857"/>
      <c r="AF156" s="857"/>
      <c r="AG156" s="857"/>
      <c r="AH156" s="857"/>
      <c r="AI156" s="883"/>
      <c r="AJ156" s="873" t="str">
        <f>IF(ISBLANK(T156),"",IF(ISBLANK(Z156),SUM(AA156:AI157),0))</f>
        <v/>
      </c>
      <c r="AK156" s="872" t="str">
        <f>IF(AJ156="","",AJ156+AK154)</f>
        <v/>
      </c>
      <c r="AL156" s="868">
        <f>IF(Z156="X",0,COUNT(AA156:AI157))</f>
        <v>0</v>
      </c>
    </row>
    <row r="157" spans="1:38" ht="16.5" customHeight="1">
      <c r="A157" s="959"/>
      <c r="B157" s="881"/>
      <c r="C157" s="855"/>
      <c r="D157" s="858"/>
      <c r="E157" s="858"/>
      <c r="F157" s="858"/>
      <c r="G157" s="860"/>
      <c r="H157" s="861"/>
      <c r="I157" s="857"/>
      <c r="J157" s="857"/>
      <c r="K157" s="857"/>
      <c r="L157" s="857"/>
      <c r="M157" s="857"/>
      <c r="N157" s="857"/>
      <c r="O157" s="857"/>
      <c r="P157" s="883"/>
      <c r="Q157" s="902"/>
      <c r="R157" s="872"/>
      <c r="S157" s="868"/>
      <c r="T157" s="952"/>
      <c r="U157" s="881"/>
      <c r="V157" s="855"/>
      <c r="W157" s="858"/>
      <c r="X157" s="858"/>
      <c r="Y157" s="858"/>
      <c r="Z157" s="860"/>
      <c r="AA157" s="861"/>
      <c r="AB157" s="857"/>
      <c r="AC157" s="857"/>
      <c r="AD157" s="857"/>
      <c r="AE157" s="857"/>
      <c r="AF157" s="857"/>
      <c r="AG157" s="857"/>
      <c r="AH157" s="857"/>
      <c r="AI157" s="883"/>
      <c r="AJ157" s="884"/>
      <c r="AK157" s="872"/>
      <c r="AL157" s="868"/>
    </row>
    <row r="158" spans="1:38" ht="16.5" customHeight="1" thickBot="1">
      <c r="A158" s="865"/>
      <c r="B158" s="967"/>
      <c r="C158" s="861"/>
      <c r="D158" s="857"/>
      <c r="E158" s="857"/>
      <c r="F158" s="857"/>
      <c r="G158" s="891"/>
      <c r="H158" s="892"/>
      <c r="I158" s="867"/>
      <c r="J158" s="867"/>
      <c r="K158" s="867"/>
      <c r="L158" s="867"/>
      <c r="M158" s="867"/>
      <c r="N158" s="867"/>
      <c r="O158" s="867"/>
      <c r="P158" s="889"/>
      <c r="Q158" s="887" t="str">
        <f>IF(ISBLANK(A158),"",IF(ISBLANK(G158),SUM(H158:P159),0))</f>
        <v/>
      </c>
      <c r="R158" s="872" t="str">
        <f>IF(Q158="","",Q158+R156)</f>
        <v/>
      </c>
      <c r="S158" s="868">
        <f>IF(G158="X",0,COUNT(H158:P159))</f>
        <v>0</v>
      </c>
      <c r="T158" s="968"/>
      <c r="U158" s="967"/>
      <c r="V158" s="861"/>
      <c r="W158" s="857"/>
      <c r="X158" s="857"/>
      <c r="Y158" s="857"/>
      <c r="Z158" s="891"/>
      <c r="AA158" s="892"/>
      <c r="AB158" s="867"/>
      <c r="AC158" s="867"/>
      <c r="AD158" s="867"/>
      <c r="AE158" s="867"/>
      <c r="AF158" s="867"/>
      <c r="AG158" s="867"/>
      <c r="AH158" s="867"/>
      <c r="AI158" s="889"/>
      <c r="AJ158" s="888" t="str">
        <f>IF(ISBLANK(T158),"",IF(ISBLANK(Z158),SUM(AA158:AI159),0))</f>
        <v/>
      </c>
      <c r="AK158" s="872" t="str">
        <f>IF(AJ158="","",AJ158+AK156)</f>
        <v/>
      </c>
      <c r="AL158" s="868">
        <f>IF(Z158="X",0,COUNT(AA158:AI159))</f>
        <v>0</v>
      </c>
    </row>
    <row r="159" spans="1:38" ht="16.5" customHeight="1">
      <c r="A159" s="877"/>
      <c r="B159" s="967"/>
      <c r="C159" s="861"/>
      <c r="D159" s="857"/>
      <c r="E159" s="857"/>
      <c r="F159" s="857"/>
      <c r="G159" s="891"/>
      <c r="H159" s="892"/>
      <c r="I159" s="867"/>
      <c r="J159" s="867"/>
      <c r="K159" s="867"/>
      <c r="L159" s="867"/>
      <c r="M159" s="867"/>
      <c r="N159" s="867"/>
      <c r="O159" s="867"/>
      <c r="P159" s="889"/>
      <c r="Q159" s="888"/>
      <c r="R159" s="872"/>
      <c r="S159" s="868"/>
      <c r="T159" s="968"/>
      <c r="U159" s="967"/>
      <c r="V159" s="861"/>
      <c r="W159" s="857"/>
      <c r="X159" s="857"/>
      <c r="Y159" s="857"/>
      <c r="Z159" s="891"/>
      <c r="AA159" s="892"/>
      <c r="AB159" s="867"/>
      <c r="AC159" s="867"/>
      <c r="AD159" s="867"/>
      <c r="AE159" s="867"/>
      <c r="AF159" s="867"/>
      <c r="AG159" s="867"/>
      <c r="AH159" s="867"/>
      <c r="AI159" s="889"/>
      <c r="AJ159" s="880"/>
      <c r="AK159" s="872"/>
      <c r="AL159" s="868"/>
    </row>
    <row r="160" spans="1:38" ht="16.5" customHeight="1">
      <c r="A160" s="855"/>
      <c r="B160" s="881"/>
      <c r="C160" s="855"/>
      <c r="D160" s="858"/>
      <c r="E160" s="858"/>
      <c r="F160" s="858"/>
      <c r="G160" s="860"/>
      <c r="H160" s="861"/>
      <c r="I160" s="857"/>
      <c r="J160" s="857"/>
      <c r="K160" s="857"/>
      <c r="L160" s="857"/>
      <c r="M160" s="857"/>
      <c r="N160" s="857"/>
      <c r="O160" s="857"/>
      <c r="P160" s="883"/>
      <c r="Q160" s="901" t="str">
        <f>IF(ISBLANK(A160),"",IF(ISBLANK(G160),SUM(H160:P161),0))</f>
        <v/>
      </c>
      <c r="R160" s="872" t="str">
        <f>IF(Q160="","",Q160+R158)</f>
        <v/>
      </c>
      <c r="S160" s="868">
        <f>IF(G160="X",0,COUNT(H160:P161))</f>
        <v>0</v>
      </c>
      <c r="T160" s="952"/>
      <c r="U160" s="881"/>
      <c r="V160" s="855"/>
      <c r="W160" s="858"/>
      <c r="X160" s="858"/>
      <c r="Y160" s="858"/>
      <c r="Z160" s="860"/>
      <c r="AA160" s="861"/>
      <c r="AB160" s="857"/>
      <c r="AC160" s="857"/>
      <c r="AD160" s="857"/>
      <c r="AE160" s="857"/>
      <c r="AF160" s="857"/>
      <c r="AG160" s="857"/>
      <c r="AH160" s="857"/>
      <c r="AI160" s="883"/>
      <c r="AJ160" s="873" t="str">
        <f>IF(ISBLANK(T160),"",IF(ISBLANK(Z160),SUM(AA160:AI161),0))</f>
        <v/>
      </c>
      <c r="AK160" s="872" t="str">
        <f>IF(AJ160="","",AJ160+AK158)</f>
        <v/>
      </c>
      <c r="AL160" s="868">
        <f>IF(Z160="X",0,COUNT(AA160:AI161))</f>
        <v>0</v>
      </c>
    </row>
    <row r="161" spans="1:39" ht="16.5" customHeight="1">
      <c r="A161" s="959"/>
      <c r="B161" s="881"/>
      <c r="C161" s="855"/>
      <c r="D161" s="858"/>
      <c r="E161" s="858"/>
      <c r="F161" s="858"/>
      <c r="G161" s="860"/>
      <c r="H161" s="861"/>
      <c r="I161" s="857"/>
      <c r="J161" s="857"/>
      <c r="K161" s="857"/>
      <c r="L161" s="857"/>
      <c r="M161" s="857"/>
      <c r="N161" s="857"/>
      <c r="O161" s="857"/>
      <c r="P161" s="883"/>
      <c r="Q161" s="902"/>
      <c r="R161" s="872"/>
      <c r="S161" s="868"/>
      <c r="T161" s="952"/>
      <c r="U161" s="881"/>
      <c r="V161" s="855"/>
      <c r="W161" s="858"/>
      <c r="X161" s="858"/>
      <c r="Y161" s="858"/>
      <c r="Z161" s="860"/>
      <c r="AA161" s="861"/>
      <c r="AB161" s="857"/>
      <c r="AC161" s="857"/>
      <c r="AD161" s="857"/>
      <c r="AE161" s="857"/>
      <c r="AF161" s="857"/>
      <c r="AG161" s="857"/>
      <c r="AH161" s="857"/>
      <c r="AI161" s="883"/>
      <c r="AJ161" s="884"/>
      <c r="AK161" s="872"/>
      <c r="AL161" s="868"/>
    </row>
    <row r="162" spans="1:39" ht="16.5" customHeight="1" thickBot="1">
      <c r="A162" s="865"/>
      <c r="B162" s="967"/>
      <c r="C162" s="861"/>
      <c r="D162" s="857"/>
      <c r="E162" s="857"/>
      <c r="F162" s="857"/>
      <c r="G162" s="891"/>
      <c r="H162" s="892"/>
      <c r="I162" s="867"/>
      <c r="J162" s="867"/>
      <c r="K162" s="867"/>
      <c r="L162" s="867"/>
      <c r="M162" s="867"/>
      <c r="N162" s="867"/>
      <c r="O162" s="867"/>
      <c r="P162" s="889"/>
      <c r="Q162" s="887" t="str">
        <f>IF(ISBLANK(A162),"",IF(ISBLANK(G162),SUM(H162:P163),0))</f>
        <v/>
      </c>
      <c r="R162" s="872" t="str">
        <f>IF(Q162="","",Q162+R160)</f>
        <v/>
      </c>
      <c r="S162" s="868">
        <f>IF(G162="X",0,COUNT(H162:P163))</f>
        <v>0</v>
      </c>
      <c r="T162" s="968"/>
      <c r="U162" s="967"/>
      <c r="V162" s="861"/>
      <c r="W162" s="857"/>
      <c r="X162" s="857"/>
      <c r="Y162" s="857"/>
      <c r="Z162" s="891"/>
      <c r="AA162" s="892"/>
      <c r="AB162" s="867"/>
      <c r="AC162" s="867"/>
      <c r="AD162" s="867"/>
      <c r="AE162" s="867"/>
      <c r="AF162" s="867"/>
      <c r="AG162" s="867"/>
      <c r="AH162" s="867"/>
      <c r="AI162" s="889"/>
      <c r="AJ162" s="888" t="str">
        <f>IF(ISBLANK(T162),"",IF(ISBLANK(Z162),SUM(AA162:AI163),0))</f>
        <v/>
      </c>
      <c r="AK162" s="872" t="str">
        <f>IF(AJ162="","",AJ162+AK160)</f>
        <v/>
      </c>
      <c r="AL162" s="868">
        <f>IF(Z162="X",0,COUNT(AA162:AI163))</f>
        <v>0</v>
      </c>
    </row>
    <row r="163" spans="1:39" ht="16.5" customHeight="1">
      <c r="A163" s="877"/>
      <c r="B163" s="967"/>
      <c r="C163" s="861"/>
      <c r="D163" s="857"/>
      <c r="E163" s="857"/>
      <c r="F163" s="857"/>
      <c r="G163" s="891"/>
      <c r="H163" s="892"/>
      <c r="I163" s="867"/>
      <c r="J163" s="867"/>
      <c r="K163" s="867"/>
      <c r="L163" s="867"/>
      <c r="M163" s="867"/>
      <c r="N163" s="867"/>
      <c r="O163" s="867"/>
      <c r="P163" s="889"/>
      <c r="Q163" s="888"/>
      <c r="R163" s="872"/>
      <c r="S163" s="868"/>
      <c r="T163" s="968"/>
      <c r="U163" s="967"/>
      <c r="V163" s="861"/>
      <c r="W163" s="857"/>
      <c r="X163" s="857"/>
      <c r="Y163" s="857"/>
      <c r="Z163" s="891"/>
      <c r="AA163" s="892"/>
      <c r="AB163" s="867"/>
      <c r="AC163" s="867"/>
      <c r="AD163" s="867"/>
      <c r="AE163" s="867"/>
      <c r="AF163" s="867"/>
      <c r="AG163" s="867"/>
      <c r="AH163" s="867"/>
      <c r="AI163" s="889"/>
      <c r="AJ163" s="880"/>
      <c r="AK163" s="872"/>
      <c r="AL163" s="868"/>
    </row>
    <row r="164" spans="1:39" ht="16.5" customHeight="1">
      <c r="A164" s="855"/>
      <c r="B164" s="881"/>
      <c r="C164" s="855"/>
      <c r="D164" s="858"/>
      <c r="E164" s="858"/>
      <c r="F164" s="858"/>
      <c r="G164" s="860"/>
      <c r="H164" s="861"/>
      <c r="I164" s="857"/>
      <c r="J164" s="857"/>
      <c r="K164" s="857"/>
      <c r="L164" s="857"/>
      <c r="M164" s="857"/>
      <c r="N164" s="857"/>
      <c r="O164" s="857"/>
      <c r="P164" s="883"/>
      <c r="Q164" s="901" t="str">
        <f>IF(ISBLANK(A164),"",IF(ISBLANK(G164),SUM(H164:P165),0))</f>
        <v/>
      </c>
      <c r="R164" s="872" t="str">
        <f>IF(Q164="","",Q164+R162)</f>
        <v/>
      </c>
      <c r="S164" s="868">
        <f>IF(G164="X",0,COUNT(H164:P165))</f>
        <v>0</v>
      </c>
      <c r="T164" s="952"/>
      <c r="U164" s="881"/>
      <c r="V164" s="855"/>
      <c r="W164" s="858"/>
      <c r="X164" s="858"/>
      <c r="Y164" s="858"/>
      <c r="Z164" s="860"/>
      <c r="AA164" s="861"/>
      <c r="AB164" s="857"/>
      <c r="AC164" s="857"/>
      <c r="AD164" s="857"/>
      <c r="AE164" s="857"/>
      <c r="AF164" s="857"/>
      <c r="AG164" s="857"/>
      <c r="AH164" s="857"/>
      <c r="AI164" s="883"/>
      <c r="AJ164" s="873" t="str">
        <f>IF(ISBLANK(T164),"",IF(ISBLANK(Z164),SUM(AA164:AI165),0))</f>
        <v/>
      </c>
      <c r="AK164" s="872" t="str">
        <f>IF(AJ164="","",AJ164+AK162)</f>
        <v/>
      </c>
      <c r="AL164" s="868">
        <f>IF(Z164="X",0,COUNT(AA164:AI165))</f>
        <v>0</v>
      </c>
    </row>
    <row r="165" spans="1:39" ht="16.5" customHeight="1" thickBot="1">
      <c r="A165" s="869"/>
      <c r="B165" s="895"/>
      <c r="C165" s="869"/>
      <c r="D165" s="897"/>
      <c r="E165" s="897"/>
      <c r="F165" s="897"/>
      <c r="G165" s="899"/>
      <c r="H165" s="864"/>
      <c r="I165" s="841"/>
      <c r="J165" s="841"/>
      <c r="K165" s="841"/>
      <c r="L165" s="841"/>
      <c r="M165" s="841"/>
      <c r="N165" s="841"/>
      <c r="O165" s="841"/>
      <c r="P165" s="976"/>
      <c r="Q165" s="974"/>
      <c r="R165" s="920"/>
      <c r="S165" s="868"/>
      <c r="T165" s="975"/>
      <c r="U165" s="895"/>
      <c r="V165" s="869"/>
      <c r="W165" s="897"/>
      <c r="X165" s="897"/>
      <c r="Y165" s="897"/>
      <c r="Z165" s="899"/>
      <c r="AA165" s="864"/>
      <c r="AB165" s="841"/>
      <c r="AC165" s="841"/>
      <c r="AD165" s="841"/>
      <c r="AE165" s="841"/>
      <c r="AF165" s="841"/>
      <c r="AG165" s="841"/>
      <c r="AH165" s="841"/>
      <c r="AI165" s="976"/>
      <c r="AJ165" s="884"/>
      <c r="AK165" s="920"/>
      <c r="AL165" s="868"/>
    </row>
    <row r="166" spans="1:39" ht="14.25" customHeight="1" thickBot="1">
      <c r="A166" s="977">
        <f>IF(COUNT(A90:A165),COUNT(A90:A165),"")</f>
        <v>20</v>
      </c>
      <c r="B166" s="910" t="s">
        <v>523</v>
      </c>
      <c r="C166" s="979">
        <f ca="1">IF(A166="","",SK!G164)</f>
        <v>2</v>
      </c>
      <c r="D166" s="914">
        <f ca="1">IF(A166="","",SK!H164)</f>
        <v>8</v>
      </c>
      <c r="E166" s="914">
        <f ca="1">IF(A166="","",SK!J164)</f>
        <v>5</v>
      </c>
      <c r="F166" s="914">
        <f ca="1">IF(A166="","",SK!K164)</f>
        <v>0</v>
      </c>
      <c r="G166" s="934" t="e">
        <f ca="1">IF(A166="","",SUM(SK!L164,SK!L165))</f>
        <v>#VALUE!</v>
      </c>
      <c r="H166" s="936">
        <f t="shared" ref="H166:Q166" si="2">IF(COUNT(H90:H165),SUM(H90:H165),"")</f>
        <v>40</v>
      </c>
      <c r="I166" s="925">
        <f t="shared" si="2"/>
        <v>18</v>
      </c>
      <c r="J166" s="925">
        <f t="shared" si="2"/>
        <v>9</v>
      </c>
      <c r="K166" s="925" t="str">
        <f t="shared" si="2"/>
        <v/>
      </c>
      <c r="L166" s="925" t="str">
        <f t="shared" si="2"/>
        <v/>
      </c>
      <c r="M166" s="925" t="str">
        <f t="shared" si="2"/>
        <v/>
      </c>
      <c r="N166" s="925" t="str">
        <f t="shared" si="2"/>
        <v/>
      </c>
      <c r="O166" s="925" t="str">
        <f t="shared" si="2"/>
        <v/>
      </c>
      <c r="P166" s="980" t="str">
        <f t="shared" si="2"/>
        <v/>
      </c>
      <c r="Q166" s="969">
        <f t="shared" si="2"/>
        <v>67</v>
      </c>
      <c r="R166" s="971">
        <f>IF(A166="","",MAX(R90:R165))</f>
        <v>142</v>
      </c>
      <c r="S166" s="986"/>
      <c r="T166" s="977">
        <f>IF(COUNT(T90:T165),COUNT(T90:T165),"")</f>
        <v>20</v>
      </c>
      <c r="U166" s="910" t="s">
        <v>523</v>
      </c>
      <c r="V166" s="979">
        <f ca="1">IF(T166="","",SK!W164)</f>
        <v>2</v>
      </c>
      <c r="W166" s="914">
        <f ca="1">IF(T166="","",SK!X164)</f>
        <v>12</v>
      </c>
      <c r="X166" s="914">
        <f ca="1">IF(T166="","",SK!Z164)</f>
        <v>9</v>
      </c>
      <c r="Y166" s="914">
        <f ca="1">IF(T166="","",SK!AA164)</f>
        <v>0</v>
      </c>
      <c r="Z166" s="934" t="e">
        <f ca="1">IF(T166="","",SUM(SK!AB164,SK!AB165))</f>
        <v>#VALUE!</v>
      </c>
      <c r="AA166" s="936">
        <f>IF(COUNT(AA90:AA165),SUM(AA90:AA165),"")</f>
        <v>46</v>
      </c>
      <c r="AB166" s="925">
        <f>IF(COUNT(AB90:AB165),SUM(AB90:AB165),"")</f>
        <v>19</v>
      </c>
      <c r="AC166" s="925">
        <f>IF(COUNT(AC90:AC165),SUM(AC90:AC165),"")</f>
        <v>8</v>
      </c>
      <c r="AD166" s="925">
        <f>IF(COUNT(AD90:AD165),SUM(AD90:AD165),"")</f>
        <v>4</v>
      </c>
      <c r="AE166" s="925" t="str">
        <f>IF(COUNT(AE90:AE165),SUM(AE90:AE165),"")</f>
        <v/>
      </c>
      <c r="AF166" s="708"/>
      <c r="AG166" s="708"/>
      <c r="AH166" s="925" t="str">
        <f>IF(COUNT(AH90:AH165),SUM(AH90:AH165),"")</f>
        <v/>
      </c>
      <c r="AI166" s="980" t="str">
        <f>IF(COUNT(AI90:AI165),SUM(AI90:AI165),"")</f>
        <v/>
      </c>
      <c r="AJ166" s="982">
        <f>IF(COUNT(AJ90:AJ165),SUM(AJ90:AJ165),"")</f>
        <v>77</v>
      </c>
      <c r="AK166" s="922">
        <f>IF(T166="","",MAX(AK90:AK165))</f>
        <v>108</v>
      </c>
      <c r="AL166" s="985"/>
    </row>
    <row r="167" spans="1:39" ht="14.25" customHeight="1" thickBot="1">
      <c r="A167" s="978"/>
      <c r="B167" s="911"/>
      <c r="C167" s="964"/>
      <c r="D167" s="915"/>
      <c r="E167" s="915"/>
      <c r="F167" s="915"/>
      <c r="G167" s="935"/>
      <c r="H167" s="973"/>
      <c r="I167" s="941"/>
      <c r="J167" s="941"/>
      <c r="K167" s="941"/>
      <c r="L167" s="941"/>
      <c r="M167" s="941"/>
      <c r="N167" s="941"/>
      <c r="O167" s="941"/>
      <c r="P167" s="981"/>
      <c r="Q167" s="970"/>
      <c r="R167" s="972"/>
      <c r="S167" s="986"/>
      <c r="T167" s="978"/>
      <c r="U167" s="911"/>
      <c r="V167" s="964"/>
      <c r="W167" s="915"/>
      <c r="X167" s="915"/>
      <c r="Y167" s="915"/>
      <c r="Z167" s="935"/>
      <c r="AA167" s="973"/>
      <c r="AB167" s="941"/>
      <c r="AC167" s="941"/>
      <c r="AD167" s="941"/>
      <c r="AE167" s="941"/>
      <c r="AF167" s="686"/>
      <c r="AG167" s="686"/>
      <c r="AH167" s="941"/>
      <c r="AI167" s="981"/>
      <c r="AJ167" s="983"/>
      <c r="AK167" s="984"/>
      <c r="AL167" s="985"/>
    </row>
    <row r="168" spans="1:39" ht="12" customHeight="1">
      <c r="A168" s="956" t="s">
        <v>474</v>
      </c>
      <c r="B168" s="957"/>
      <c r="C168" s="957"/>
      <c r="D168" s="957"/>
      <c r="E168" s="957"/>
      <c r="F168" s="957"/>
      <c r="G168" s="957"/>
      <c r="H168" s="957"/>
      <c r="I168" s="957"/>
      <c r="J168" s="957"/>
      <c r="K168" s="957"/>
      <c r="L168" s="957"/>
      <c r="M168" s="957"/>
      <c r="N168" s="957"/>
      <c r="O168" s="957"/>
      <c r="P168" s="957"/>
      <c r="Q168" s="957"/>
      <c r="R168" s="958"/>
      <c r="S168" s="31"/>
      <c r="T168" s="956" t="s">
        <v>474</v>
      </c>
      <c r="U168" s="957"/>
      <c r="V168" s="957"/>
      <c r="W168" s="957"/>
      <c r="X168" s="957"/>
      <c r="Y168" s="957"/>
      <c r="Z168" s="957"/>
      <c r="AA168" s="957"/>
      <c r="AB168" s="957"/>
      <c r="AC168" s="957"/>
      <c r="AD168" s="957"/>
      <c r="AE168" s="957"/>
      <c r="AF168" s="957"/>
      <c r="AG168" s="957"/>
      <c r="AH168" s="957"/>
      <c r="AI168" s="957"/>
      <c r="AJ168" s="957"/>
      <c r="AK168" s="958"/>
      <c r="AL168" s="25"/>
      <c r="AM168" s="25"/>
    </row>
    <row r="169" spans="1:39" ht="12" customHeight="1">
      <c r="A169" s="931" t="s">
        <v>475</v>
      </c>
      <c r="B169" s="932"/>
      <c r="C169" s="932"/>
      <c r="D169" s="932"/>
      <c r="E169" s="932"/>
      <c r="F169" s="932"/>
      <c r="G169" s="932"/>
      <c r="H169" s="932"/>
      <c r="I169" s="932"/>
      <c r="J169" s="932"/>
      <c r="K169" s="932"/>
      <c r="L169" s="932"/>
      <c r="M169" s="932"/>
      <c r="N169" s="932"/>
      <c r="O169" s="932"/>
      <c r="P169" s="932"/>
      <c r="Q169" s="932"/>
      <c r="R169" s="933"/>
      <c r="S169" s="24"/>
      <c r="T169" s="931" t="s">
        <v>475</v>
      </c>
      <c r="U169" s="932"/>
      <c r="V169" s="932"/>
      <c r="W169" s="932"/>
      <c r="X169" s="932"/>
      <c r="Y169" s="932"/>
      <c r="Z169" s="932"/>
      <c r="AA169" s="932"/>
      <c r="AB169" s="932"/>
      <c r="AC169" s="932"/>
      <c r="AD169" s="932"/>
      <c r="AE169" s="932"/>
      <c r="AF169" s="932"/>
      <c r="AG169" s="932"/>
      <c r="AH169" s="932"/>
      <c r="AI169" s="932"/>
      <c r="AJ169" s="932"/>
      <c r="AK169" s="933"/>
      <c r="AL169" s="25"/>
      <c r="AM169" s="25"/>
    </row>
    <row r="170" spans="1:39" ht="12" customHeight="1">
      <c r="A170" s="931" t="s">
        <v>476</v>
      </c>
      <c r="B170" s="932"/>
      <c r="C170" s="932"/>
      <c r="D170" s="932"/>
      <c r="E170" s="932"/>
      <c r="F170" s="932"/>
      <c r="G170" s="932"/>
      <c r="H170" s="932"/>
      <c r="I170" s="932"/>
      <c r="J170" s="932"/>
      <c r="K170" s="932"/>
      <c r="L170" s="932"/>
      <c r="M170" s="932"/>
      <c r="N170" s="932"/>
      <c r="O170" s="932"/>
      <c r="P170" s="932"/>
      <c r="Q170" s="932"/>
      <c r="R170" s="933"/>
      <c r="S170" s="24"/>
      <c r="T170" s="931" t="s">
        <v>476</v>
      </c>
      <c r="U170" s="932"/>
      <c r="V170" s="932"/>
      <c r="W170" s="932"/>
      <c r="X170" s="932"/>
      <c r="Y170" s="932"/>
      <c r="Z170" s="932"/>
      <c r="AA170" s="932"/>
      <c r="AB170" s="932"/>
      <c r="AC170" s="932"/>
      <c r="AD170" s="932"/>
      <c r="AE170" s="932"/>
      <c r="AF170" s="932"/>
      <c r="AG170" s="932"/>
      <c r="AH170" s="932"/>
      <c r="AI170" s="932"/>
      <c r="AJ170" s="932"/>
      <c r="AK170" s="933"/>
      <c r="AL170" s="25"/>
      <c r="AM170" s="25"/>
    </row>
    <row r="171" spans="1:39" ht="12" customHeight="1">
      <c r="A171" s="931" t="s">
        <v>709</v>
      </c>
      <c r="B171" s="932"/>
      <c r="C171" s="932"/>
      <c r="D171" s="932"/>
      <c r="E171" s="932"/>
      <c r="F171" s="932"/>
      <c r="G171" s="932"/>
      <c r="H171" s="932"/>
      <c r="I171" s="932"/>
      <c r="J171" s="932"/>
      <c r="K171" s="932"/>
      <c r="L171" s="932"/>
      <c r="M171" s="932"/>
      <c r="N171" s="932"/>
      <c r="O171" s="932"/>
      <c r="P171" s="932"/>
      <c r="Q171" s="932"/>
      <c r="R171" s="933"/>
      <c r="S171" s="26"/>
      <c r="T171" s="931" t="s">
        <v>709</v>
      </c>
      <c r="U171" s="932"/>
      <c r="V171" s="932"/>
      <c r="W171" s="932"/>
      <c r="X171" s="932"/>
      <c r="Y171" s="932"/>
      <c r="Z171" s="932"/>
      <c r="AA171" s="932"/>
      <c r="AB171" s="932"/>
      <c r="AC171" s="932"/>
      <c r="AD171" s="932"/>
      <c r="AE171" s="932"/>
      <c r="AF171" s="932"/>
      <c r="AG171" s="932"/>
      <c r="AH171" s="932"/>
      <c r="AI171" s="932"/>
      <c r="AJ171" s="932"/>
      <c r="AK171" s="933"/>
      <c r="AL171" s="25"/>
      <c r="AM171" s="25"/>
    </row>
    <row r="172" spans="1:39" ht="12" customHeight="1" thickBot="1">
      <c r="A172" s="948" t="s">
        <v>575</v>
      </c>
      <c r="B172" s="949"/>
      <c r="C172" s="949"/>
      <c r="D172" s="949"/>
      <c r="E172" s="949"/>
      <c r="F172" s="949"/>
      <c r="G172" s="949"/>
      <c r="H172" s="949"/>
      <c r="I172" s="949"/>
      <c r="J172" s="949"/>
      <c r="K172" s="949"/>
      <c r="L172" s="949"/>
      <c r="M172" s="949"/>
      <c r="N172" s="949"/>
      <c r="O172" s="949"/>
      <c r="P172" s="949"/>
      <c r="Q172" s="949"/>
      <c r="R172" s="950"/>
      <c r="S172" s="27"/>
      <c r="T172" s="948" t="s">
        <v>575</v>
      </c>
      <c r="U172" s="949"/>
      <c r="V172" s="949"/>
      <c r="W172" s="949"/>
      <c r="X172" s="949"/>
      <c r="Y172" s="949"/>
      <c r="Z172" s="949"/>
      <c r="AA172" s="949"/>
      <c r="AB172" s="949"/>
      <c r="AC172" s="949"/>
      <c r="AD172" s="949"/>
      <c r="AE172" s="949"/>
      <c r="AF172" s="949"/>
      <c r="AG172" s="949"/>
      <c r="AH172" s="949"/>
      <c r="AI172" s="949"/>
      <c r="AJ172" s="949"/>
      <c r="AK172" s="950"/>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B17" sqref="B17"/>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9" t="str">
        <f ca="1">Score!$A$1</f>
        <v>Detroit Pistoffs</v>
      </c>
      <c r="B1" s="1009"/>
      <c r="C1" s="1009"/>
      <c r="D1" s="1009"/>
      <c r="E1" s="1009"/>
      <c r="F1" s="1009"/>
      <c r="G1" s="1009"/>
      <c r="H1" s="1009"/>
      <c r="I1" s="1005" t="str">
        <f ca="1">IF(ISBLANK(Score!$I$1), "", Score!$I$1)</f>
        <v>Blue</v>
      </c>
      <c r="J1" s="1005"/>
      <c r="K1" s="509">
        <f ca="1">IF(ISBLANK(IBRF!$B$5), "", IBRF!$B$5)</f>
        <v>41377</v>
      </c>
      <c r="L1" s="1008" t="s">
        <v>235</v>
      </c>
      <c r="M1" s="1008"/>
      <c r="N1" s="1009" t="str">
        <f ca="1">Score!$T$1</f>
        <v>Pistolwhippers</v>
      </c>
      <c r="O1" s="1009"/>
      <c r="P1" s="1009"/>
      <c r="Q1" s="1009"/>
      <c r="R1" s="1009"/>
      <c r="S1" s="1009"/>
      <c r="T1" s="1009"/>
      <c r="U1" s="1009"/>
      <c r="V1" s="1005" t="str">
        <f ca="1">IF(ISBLANK(Score!$AB$1), "", Score!$AB$1)</f>
        <v>Red</v>
      </c>
      <c r="W1" s="1005"/>
      <c r="X1" s="59">
        <v>1</v>
      </c>
      <c r="Y1" s="1009" t="str">
        <f ca="1">Score!$A$1</f>
        <v>Detroit Pistoffs</v>
      </c>
      <c r="Z1" s="1009"/>
      <c r="AA1" s="1009"/>
      <c r="AB1" s="1009"/>
      <c r="AC1" s="1009"/>
      <c r="AD1" s="1009"/>
      <c r="AE1" s="1009"/>
      <c r="AF1" s="1009"/>
      <c r="AG1" s="1005" t="str">
        <f>I1</f>
        <v>Blue</v>
      </c>
      <c r="AH1" s="1005"/>
      <c r="AI1" s="509">
        <f ca="1">IF(ISBLANK(IBRF!$B$5), "", IBRF!$B$5)</f>
        <v>41377</v>
      </c>
      <c r="AJ1" s="1008" t="s">
        <v>235</v>
      </c>
      <c r="AK1" s="1008"/>
      <c r="AL1" s="1009" t="str">
        <f ca="1">Score!$T$1</f>
        <v>Pistolwhippers</v>
      </c>
      <c r="AM1" s="1009"/>
      <c r="AN1" s="1009"/>
      <c r="AO1" s="1009"/>
      <c r="AP1" s="1009"/>
      <c r="AQ1" s="1009"/>
      <c r="AR1" s="1009"/>
      <c r="AS1" s="1009"/>
      <c r="AT1" s="1005" t="str">
        <f>V1</f>
        <v>Red</v>
      </c>
      <c r="AU1" s="1005"/>
      <c r="AV1" s="59">
        <v>2</v>
      </c>
    </row>
    <row r="2" spans="1:48" ht="15" customHeight="1">
      <c r="A2" s="1009"/>
      <c r="B2" s="1009"/>
      <c r="C2" s="1009"/>
      <c r="D2" s="1009"/>
      <c r="E2" s="1009"/>
      <c r="F2" s="1009"/>
      <c r="G2" s="1009"/>
      <c r="H2" s="1009"/>
      <c r="I2" s="1006" t="s">
        <v>472</v>
      </c>
      <c r="J2" s="1006"/>
      <c r="K2" s="60" t="s">
        <v>577</v>
      </c>
      <c r="L2" s="1007" t="s">
        <v>499</v>
      </c>
      <c r="M2" s="1007"/>
      <c r="N2" s="1009"/>
      <c r="O2" s="1009"/>
      <c r="P2" s="1009"/>
      <c r="Q2" s="1009"/>
      <c r="R2" s="1009"/>
      <c r="S2" s="1009"/>
      <c r="T2" s="1009"/>
      <c r="U2" s="1009"/>
      <c r="V2" s="1006" t="s">
        <v>472</v>
      </c>
      <c r="W2" s="1006"/>
      <c r="X2" s="34" t="str">
        <f ca="1">IF(ISBLANK(Score!$R$2), "", Score!$R$2)</f>
        <v>BOUT 199</v>
      </c>
      <c r="Y2" s="1009"/>
      <c r="Z2" s="1009"/>
      <c r="AA2" s="1009"/>
      <c r="AB2" s="1009"/>
      <c r="AC2" s="1009"/>
      <c r="AD2" s="1009"/>
      <c r="AE2" s="1009"/>
      <c r="AF2" s="1009"/>
      <c r="AG2" s="1006" t="s">
        <v>472</v>
      </c>
      <c r="AH2" s="1006"/>
      <c r="AI2" s="60" t="s">
        <v>577</v>
      </c>
      <c r="AJ2" s="1007" t="s">
        <v>499</v>
      </c>
      <c r="AK2" s="1007"/>
      <c r="AL2" s="1009"/>
      <c r="AM2" s="1009"/>
      <c r="AN2" s="1009"/>
      <c r="AO2" s="1009"/>
      <c r="AP2" s="1009"/>
      <c r="AQ2" s="1009"/>
      <c r="AR2" s="1009"/>
      <c r="AS2" s="1009"/>
      <c r="AT2" s="1006" t="s">
        <v>472</v>
      </c>
      <c r="AU2" s="1006"/>
      <c r="AV2" s="34" t="str">
        <f ca="1">IF(ISBLANK(Score!$R$2), "", Score!$R$2)</f>
        <v>BOUT 199</v>
      </c>
    </row>
    <row r="3" spans="1:48" s="37" customFormat="1" ht="15" customHeight="1" thickBot="1">
      <c r="A3" s="11" t="s">
        <v>524</v>
      </c>
      <c r="B3" s="1035" t="s">
        <v>511</v>
      </c>
      <c r="C3" s="1035"/>
      <c r="D3" s="1035"/>
      <c r="E3" s="1035"/>
      <c r="F3" s="1035"/>
      <c r="G3" s="1035"/>
      <c r="H3" s="1035"/>
      <c r="I3" s="607" t="s">
        <v>526</v>
      </c>
      <c r="J3" s="11" t="s">
        <v>419</v>
      </c>
      <c r="K3" s="1035" t="s">
        <v>293</v>
      </c>
      <c r="L3" s="1035"/>
      <c r="M3" s="1035"/>
      <c r="N3" s="11" t="s">
        <v>524</v>
      </c>
      <c r="O3" s="1035" t="s">
        <v>511</v>
      </c>
      <c r="P3" s="1035"/>
      <c r="Q3" s="1035"/>
      <c r="R3" s="1035"/>
      <c r="S3" s="1035"/>
      <c r="T3" s="1035"/>
      <c r="U3" s="1035"/>
      <c r="V3" s="607" t="s">
        <v>526</v>
      </c>
      <c r="W3" s="11" t="s">
        <v>419</v>
      </c>
      <c r="X3" s="36" t="s">
        <v>512</v>
      </c>
      <c r="Y3" s="608" t="s">
        <v>524</v>
      </c>
      <c r="Z3" s="1035" t="s">
        <v>511</v>
      </c>
      <c r="AA3" s="1035"/>
      <c r="AB3" s="1035"/>
      <c r="AC3" s="1035"/>
      <c r="AD3" s="1035"/>
      <c r="AE3" s="1035"/>
      <c r="AF3" s="1035"/>
      <c r="AG3" s="607" t="s">
        <v>526</v>
      </c>
      <c r="AH3" s="11" t="s">
        <v>419</v>
      </c>
      <c r="AI3" s="1035" t="s">
        <v>293</v>
      </c>
      <c r="AJ3" s="1035"/>
      <c r="AK3" s="1035"/>
      <c r="AL3" s="11" t="s">
        <v>524</v>
      </c>
      <c r="AM3" s="1035" t="s">
        <v>511</v>
      </c>
      <c r="AN3" s="1035"/>
      <c r="AO3" s="1035"/>
      <c r="AP3" s="1035"/>
      <c r="AQ3" s="1035"/>
      <c r="AR3" s="1035"/>
      <c r="AS3" s="1035"/>
      <c r="AT3" s="607" t="s">
        <v>526</v>
      </c>
      <c r="AU3" s="11" t="s">
        <v>419</v>
      </c>
      <c r="AV3" s="36" t="s">
        <v>512</v>
      </c>
    </row>
    <row r="4" spans="1:48" ht="16.5" customHeight="1" thickBot="1">
      <c r="A4" s="1017" t="str">
        <f ca="1">IF(IBRF!B11="","",IBRF!B11)</f>
        <v>138</v>
      </c>
      <c r="B4" s="554"/>
      <c r="C4" s="555"/>
      <c r="D4" s="555"/>
      <c r="E4" s="555"/>
      <c r="F4" s="555"/>
      <c r="G4" s="555"/>
      <c r="H4" s="556"/>
      <c r="I4" s="557"/>
      <c r="J4" s="1018" t="str">
        <f>IF(COUNTA(B4:H4)=0,"",COUNTA(B4:H4))</f>
        <v/>
      </c>
      <c r="K4" s="1012">
        <v>1</v>
      </c>
      <c r="L4" s="1013"/>
      <c r="M4" s="1014"/>
      <c r="N4" s="1017" t="str">
        <f ca="1">IF(IBRF!H11="","",IBRF!H11)</f>
        <v>182</v>
      </c>
      <c r="O4" s="554" t="s">
        <v>370</v>
      </c>
      <c r="P4" s="555"/>
      <c r="Q4" s="555"/>
      <c r="R4" s="555"/>
      <c r="S4" s="555"/>
      <c r="T4" s="555"/>
      <c r="U4" s="556"/>
      <c r="V4" s="557"/>
      <c r="W4" s="1018">
        <f>IF(COUNTA(O4:U4)=0,"",COUNTA(O4:U4))</f>
        <v>1</v>
      </c>
      <c r="X4" s="48" t="s">
        <v>527</v>
      </c>
      <c r="Y4" s="1010" t="str">
        <f ca="1">IF(IBRF!B11="","",IBRF!B11)</f>
        <v>138</v>
      </c>
      <c r="Z4" s="554"/>
      <c r="AA4" s="555"/>
      <c r="AB4" s="555"/>
      <c r="AC4" s="555"/>
      <c r="AD4" s="555"/>
      <c r="AE4" s="555"/>
      <c r="AF4" s="556"/>
      <c r="AG4" s="557"/>
      <c r="AH4" s="1018" t="str">
        <f>IF(COUNTA(Z4:AF4)=0,"",COUNTA(Z4:AF4))</f>
        <v/>
      </c>
      <c r="AI4" s="1012">
        <v>1</v>
      </c>
      <c r="AJ4" s="1013"/>
      <c r="AK4" s="1014"/>
      <c r="AL4" s="1010" t="str">
        <f ca="1">IF(IBRF!H11="","",IBRF!H11)</f>
        <v>182</v>
      </c>
      <c r="AM4" s="709"/>
      <c r="AN4" s="555"/>
      <c r="AO4" s="555"/>
      <c r="AP4" s="555"/>
      <c r="AQ4" s="555"/>
      <c r="AR4" s="555"/>
      <c r="AS4" s="556"/>
      <c r="AT4" s="557"/>
      <c r="AU4" s="1018" t="str">
        <f>IF(COUNTA(AM4:AS4)=0,"",COUNTA(AM4:AS4))</f>
        <v/>
      </c>
      <c r="AV4" s="48" t="s">
        <v>527</v>
      </c>
    </row>
    <row r="5" spans="1:48" ht="16.5" customHeight="1" thickBot="1">
      <c r="A5" s="1004"/>
      <c r="B5" s="558"/>
      <c r="C5" s="559"/>
      <c r="D5" s="559"/>
      <c r="E5" s="559"/>
      <c r="F5" s="559"/>
      <c r="G5" s="559"/>
      <c r="H5" s="560"/>
      <c r="I5" s="561"/>
      <c r="J5" s="1019"/>
      <c r="K5" s="989">
        <v>2</v>
      </c>
      <c r="L5" s="990"/>
      <c r="M5" s="991"/>
      <c r="N5" s="1004"/>
      <c r="O5" s="558">
        <v>24</v>
      </c>
      <c r="P5" s="559"/>
      <c r="Q5" s="559"/>
      <c r="R5" s="559"/>
      <c r="S5" s="559"/>
      <c r="T5" s="559"/>
      <c r="U5" s="560"/>
      <c r="V5" s="561"/>
      <c r="W5" s="1019"/>
      <c r="X5" s="42" t="s">
        <v>528</v>
      </c>
      <c r="Y5" s="1011"/>
      <c r="Z5" s="558"/>
      <c r="AA5" s="559"/>
      <c r="AB5" s="559"/>
      <c r="AC5" s="559"/>
      <c r="AD5" s="559"/>
      <c r="AE5" s="559"/>
      <c r="AF5" s="560"/>
      <c r="AG5" s="561"/>
      <c r="AH5" s="1019"/>
      <c r="AI5" s="989">
        <v>2</v>
      </c>
      <c r="AJ5" s="990"/>
      <c r="AK5" s="991"/>
      <c r="AL5" s="1011"/>
      <c r="AM5" s="710"/>
      <c r="AN5" s="559"/>
      <c r="AO5" s="559"/>
      <c r="AP5" s="559"/>
      <c r="AQ5" s="559"/>
      <c r="AR5" s="559"/>
      <c r="AS5" s="560"/>
      <c r="AT5" s="561"/>
      <c r="AU5" s="1019"/>
      <c r="AV5" s="42" t="s">
        <v>528</v>
      </c>
    </row>
    <row r="6" spans="1:48" ht="16.5" customHeight="1">
      <c r="A6" s="1015" t="str">
        <f ca="1">IF(IBRF!B12="","",IBRF!B12)</f>
        <v>181</v>
      </c>
      <c r="B6" s="562"/>
      <c r="C6" s="563"/>
      <c r="D6" s="563"/>
      <c r="E6" s="563"/>
      <c r="F6" s="563"/>
      <c r="G6" s="564"/>
      <c r="H6" s="565"/>
      <c r="I6" s="557"/>
      <c r="J6" s="1020" t="str">
        <f>IF(COUNTA(B6:H6)=0,"",COUNTA(B6:H6))</f>
        <v/>
      </c>
      <c r="K6" s="992">
        <v>3</v>
      </c>
      <c r="L6" s="993"/>
      <c r="M6" s="994">
        <v>3</v>
      </c>
      <c r="N6" s="1015" t="str">
        <f ca="1">IF(IBRF!H12="","",IBRF!H12)</f>
        <v>2¢</v>
      </c>
      <c r="O6" s="562"/>
      <c r="P6" s="563"/>
      <c r="Q6" s="563"/>
      <c r="R6" s="563"/>
      <c r="S6" s="563"/>
      <c r="T6" s="564"/>
      <c r="U6" s="565"/>
      <c r="V6" s="557"/>
      <c r="W6" s="1020" t="str">
        <f>IF(COUNTA(O6:U6)=0,"",COUNTA(O6:U6))</f>
        <v/>
      </c>
      <c r="X6" s="44" t="s">
        <v>376</v>
      </c>
      <c r="Y6" s="1025" t="str">
        <f ca="1">IF(IBRF!B12="","",IBRF!B12)</f>
        <v>181</v>
      </c>
      <c r="Z6" s="562" t="s">
        <v>370</v>
      </c>
      <c r="AA6" s="563"/>
      <c r="AB6" s="563"/>
      <c r="AC6" s="563"/>
      <c r="AD6" s="563"/>
      <c r="AE6" s="564"/>
      <c r="AF6" s="565"/>
      <c r="AG6" s="557"/>
      <c r="AH6" s="1020">
        <f>IF(COUNTA(Z6:AF6)=0,"",COUNTA(Z6:AF6))</f>
        <v>1</v>
      </c>
      <c r="AI6" s="992">
        <v>3</v>
      </c>
      <c r="AJ6" s="993"/>
      <c r="AK6" s="994"/>
      <c r="AL6" s="1025" t="str">
        <f ca="1">IF(IBRF!H12="","",IBRF!H12)</f>
        <v>2¢</v>
      </c>
      <c r="AM6" s="562" t="s">
        <v>531</v>
      </c>
      <c r="AN6" s="563"/>
      <c r="AO6" s="563"/>
      <c r="AP6" s="563"/>
      <c r="AQ6" s="563"/>
      <c r="AR6" s="564"/>
      <c r="AS6" s="565"/>
      <c r="AT6" s="557"/>
      <c r="AU6" s="1020">
        <f>IF(COUNTA(AM6:AS6)=0,"",COUNTA(AM6:AS6))</f>
        <v>1</v>
      </c>
      <c r="AV6" s="44" t="s">
        <v>376</v>
      </c>
    </row>
    <row r="7" spans="1:48" ht="16.5" customHeight="1" thickBot="1">
      <c r="A7" s="1016"/>
      <c r="B7" s="566"/>
      <c r="C7" s="567"/>
      <c r="D7" s="567"/>
      <c r="E7" s="567"/>
      <c r="F7" s="567"/>
      <c r="G7" s="568"/>
      <c r="H7" s="569"/>
      <c r="I7" s="561"/>
      <c r="J7" s="1021"/>
      <c r="K7" s="989">
        <v>4</v>
      </c>
      <c r="L7" s="990"/>
      <c r="M7" s="991">
        <v>4</v>
      </c>
      <c r="N7" s="1016"/>
      <c r="O7" s="566"/>
      <c r="P7" s="567"/>
      <c r="Q7" s="567"/>
      <c r="R7" s="567"/>
      <c r="S7" s="567"/>
      <c r="T7" s="568"/>
      <c r="U7" s="569"/>
      <c r="V7" s="561"/>
      <c r="W7" s="1021"/>
      <c r="X7" s="42" t="s">
        <v>377</v>
      </c>
      <c r="Y7" s="1026"/>
      <c r="Z7" s="566">
        <v>15</v>
      </c>
      <c r="AA7" s="567"/>
      <c r="AB7" s="567"/>
      <c r="AC7" s="567"/>
      <c r="AD7" s="567"/>
      <c r="AE7" s="568"/>
      <c r="AF7" s="569"/>
      <c r="AG7" s="561"/>
      <c r="AH7" s="1021"/>
      <c r="AI7" s="989">
        <v>4</v>
      </c>
      <c r="AJ7" s="990"/>
      <c r="AK7" s="991"/>
      <c r="AL7" s="1026"/>
      <c r="AM7" s="566">
        <v>6</v>
      </c>
      <c r="AN7" s="567"/>
      <c r="AO7" s="567"/>
      <c r="AP7" s="567"/>
      <c r="AQ7" s="567"/>
      <c r="AR7" s="568"/>
      <c r="AS7" s="569"/>
      <c r="AT7" s="561"/>
      <c r="AU7" s="1021"/>
      <c r="AV7" s="42" t="s">
        <v>377</v>
      </c>
    </row>
    <row r="8" spans="1:48" ht="16.5" customHeight="1" thickBot="1">
      <c r="A8" s="1003" t="str">
        <f ca="1">IF(IBRF!B13="","",IBRF!B13)</f>
        <v>1821</v>
      </c>
      <c r="B8" s="554"/>
      <c r="C8" s="555"/>
      <c r="D8" s="555"/>
      <c r="E8" s="555"/>
      <c r="F8" s="555"/>
      <c r="G8" s="555"/>
      <c r="H8" s="556"/>
      <c r="I8" s="557"/>
      <c r="J8" s="1018" t="str">
        <f>IF(COUNTA(B8:H8)=0,"",COUNTA(B8:H8))</f>
        <v/>
      </c>
      <c r="K8" s="992">
        <v>5</v>
      </c>
      <c r="L8" s="993"/>
      <c r="M8" s="994">
        <v>5</v>
      </c>
      <c r="N8" s="1003" t="str">
        <f ca="1">IF(IBRF!H13="","",IBRF!H13)</f>
        <v>24/7</v>
      </c>
      <c r="O8" s="554" t="s">
        <v>531</v>
      </c>
      <c r="P8" s="555" t="s">
        <v>533</v>
      </c>
      <c r="Q8" s="555" t="s">
        <v>246</v>
      </c>
      <c r="R8" s="555" t="s">
        <v>246</v>
      </c>
      <c r="S8" s="555"/>
      <c r="T8" s="555"/>
      <c r="U8" s="556"/>
      <c r="V8" s="557"/>
      <c r="W8" s="1018">
        <f>IF(COUNTA(O8:U8)=0,"",COUNTA(O8:U8))</f>
        <v>4</v>
      </c>
      <c r="X8" s="48" t="s">
        <v>461</v>
      </c>
      <c r="Y8" s="1011" t="str">
        <f ca="1">IF(IBRF!B13="","",IBRF!B13)</f>
        <v>1821</v>
      </c>
      <c r="Z8" s="554"/>
      <c r="AA8" s="555"/>
      <c r="AB8" s="555"/>
      <c r="AC8" s="555"/>
      <c r="AD8" s="555"/>
      <c r="AE8" s="555"/>
      <c r="AF8" s="556"/>
      <c r="AG8" s="557"/>
      <c r="AH8" s="1018" t="str">
        <f>IF(COUNTA(Z8:AF8)=0,"",COUNTA(Z8:AF8))</f>
        <v/>
      </c>
      <c r="AI8" s="992">
        <v>5</v>
      </c>
      <c r="AJ8" s="993"/>
      <c r="AK8" s="994"/>
      <c r="AL8" s="1011" t="str">
        <f ca="1">IF(IBRF!H13="","",IBRF!H13)</f>
        <v>24/7</v>
      </c>
      <c r="AM8" s="709"/>
      <c r="AN8" s="713"/>
      <c r="AO8" s="713"/>
      <c r="AP8" s="713"/>
      <c r="AQ8" s="555" t="s">
        <v>533</v>
      </c>
      <c r="AR8" s="555"/>
      <c r="AS8" s="556"/>
      <c r="AT8" s="557"/>
      <c r="AU8" s="1018">
        <f>IF(COUNTA(AM8:AS8)=0,"",COUNTA(AM8:AS8))</f>
        <v>1</v>
      </c>
      <c r="AV8" s="48" t="s">
        <v>461</v>
      </c>
    </row>
    <row r="9" spans="1:48" ht="16.5" customHeight="1" thickBot="1">
      <c r="A9" s="1004"/>
      <c r="B9" s="558"/>
      <c r="C9" s="559"/>
      <c r="D9" s="559"/>
      <c r="E9" s="559"/>
      <c r="F9" s="559"/>
      <c r="G9" s="559"/>
      <c r="H9" s="560"/>
      <c r="I9" s="561"/>
      <c r="J9" s="1019"/>
      <c r="K9" s="989">
        <v>6</v>
      </c>
      <c r="L9" s="990"/>
      <c r="M9" s="991">
        <v>6</v>
      </c>
      <c r="N9" s="1004"/>
      <c r="O9" s="558">
        <v>1</v>
      </c>
      <c r="P9" s="559">
        <v>14</v>
      </c>
      <c r="Q9" s="559">
        <v>14</v>
      </c>
      <c r="R9" s="559">
        <v>21</v>
      </c>
      <c r="S9" s="559"/>
      <c r="T9" s="559"/>
      <c r="U9" s="560"/>
      <c r="V9" s="561"/>
      <c r="W9" s="1019"/>
      <c r="X9" s="42" t="s">
        <v>462</v>
      </c>
      <c r="Y9" s="1011"/>
      <c r="Z9" s="558"/>
      <c r="AA9" s="559"/>
      <c r="AB9" s="559"/>
      <c r="AC9" s="559"/>
      <c r="AD9" s="559"/>
      <c r="AE9" s="559"/>
      <c r="AF9" s="560"/>
      <c r="AG9" s="561"/>
      <c r="AH9" s="1019"/>
      <c r="AI9" s="989">
        <v>6</v>
      </c>
      <c r="AJ9" s="990"/>
      <c r="AK9" s="991"/>
      <c r="AL9" s="1011"/>
      <c r="AM9" s="710"/>
      <c r="AN9" s="714"/>
      <c r="AO9" s="714"/>
      <c r="AP9" s="714"/>
      <c r="AQ9" s="559">
        <v>20</v>
      </c>
      <c r="AR9" s="559"/>
      <c r="AS9" s="560"/>
      <c r="AT9" s="561"/>
      <c r="AU9" s="1019"/>
      <c r="AV9" s="42" t="s">
        <v>462</v>
      </c>
    </row>
    <row r="10" spans="1:48" ht="16.5" customHeight="1">
      <c r="A10" s="1015" t="str">
        <f ca="1">IF(IBRF!B14="","",IBRF!B14)</f>
        <v>187</v>
      </c>
      <c r="B10" s="562"/>
      <c r="C10" s="563"/>
      <c r="D10" s="563"/>
      <c r="E10" s="563"/>
      <c r="F10" s="563"/>
      <c r="G10" s="564"/>
      <c r="H10" s="565"/>
      <c r="I10" s="557"/>
      <c r="J10" s="1020" t="str">
        <f>IF(COUNTA(B10:H10)=0,"",COUNTA(B10:H10))</f>
        <v/>
      </c>
      <c r="K10" s="992">
        <v>7</v>
      </c>
      <c r="L10" s="993"/>
      <c r="M10" s="994">
        <v>7</v>
      </c>
      <c r="N10" s="1015" t="str">
        <f ca="1">IF(IBRF!H14="","",IBRF!H14)</f>
        <v>27</v>
      </c>
      <c r="O10" s="562" t="s">
        <v>531</v>
      </c>
      <c r="P10" s="563"/>
      <c r="Q10" s="563"/>
      <c r="R10" s="563"/>
      <c r="S10" s="563"/>
      <c r="T10" s="564"/>
      <c r="U10" s="565"/>
      <c r="V10" s="557"/>
      <c r="W10" s="1020">
        <f>IF(COUNTA(O10:U10)=0,"",COUNTA(O10:U10))</f>
        <v>1</v>
      </c>
      <c r="X10" s="48" t="s">
        <v>372</v>
      </c>
      <c r="Y10" s="1025" t="str">
        <f ca="1">IF(IBRF!B14="","",IBRF!B14)</f>
        <v>187</v>
      </c>
      <c r="Z10" s="562"/>
      <c r="AA10" s="563"/>
      <c r="AB10" s="563"/>
      <c r="AC10" s="563"/>
      <c r="AD10" s="563"/>
      <c r="AE10" s="564"/>
      <c r="AF10" s="565"/>
      <c r="AG10" s="557"/>
      <c r="AH10" s="1020" t="str">
        <f>IF(COUNTA(Z10:AF10)=0,"",COUNTA(Z10:AF10))</f>
        <v/>
      </c>
      <c r="AI10" s="992">
        <v>7</v>
      </c>
      <c r="AJ10" s="993"/>
      <c r="AK10" s="994"/>
      <c r="AL10" s="1025" t="str">
        <f ca="1">IF(IBRF!H14="","",IBRF!H14)</f>
        <v>27</v>
      </c>
      <c r="AM10" s="711"/>
      <c r="AN10" s="563" t="s">
        <v>370</v>
      </c>
      <c r="AO10" s="563"/>
      <c r="AP10" s="563"/>
      <c r="AQ10" s="563"/>
      <c r="AR10" s="564"/>
      <c r="AS10" s="565"/>
      <c r="AT10" s="557"/>
      <c r="AU10" s="1020">
        <f>IF(COUNTA(AM10:AS10)=0,"",COUNTA(AM10:AS10))</f>
        <v>1</v>
      </c>
      <c r="AV10" s="48" t="s">
        <v>372</v>
      </c>
    </row>
    <row r="11" spans="1:48" ht="16.5" customHeight="1" thickBot="1">
      <c r="A11" s="1016"/>
      <c r="B11" s="566"/>
      <c r="C11" s="567"/>
      <c r="D11" s="567"/>
      <c r="E11" s="567"/>
      <c r="F11" s="567"/>
      <c r="G11" s="568"/>
      <c r="H11" s="569"/>
      <c r="I11" s="561"/>
      <c r="J11" s="1021"/>
      <c r="K11" s="989">
        <v>8</v>
      </c>
      <c r="L11" s="990"/>
      <c r="M11" s="991">
        <v>8</v>
      </c>
      <c r="N11" s="1016"/>
      <c r="O11" s="566">
        <v>22</v>
      </c>
      <c r="P11" s="567"/>
      <c r="Q11" s="567"/>
      <c r="R11" s="567"/>
      <c r="S11" s="567"/>
      <c r="T11" s="568"/>
      <c r="U11" s="569"/>
      <c r="V11" s="561"/>
      <c r="W11" s="1021"/>
      <c r="X11" s="42" t="s">
        <v>373</v>
      </c>
      <c r="Y11" s="1026"/>
      <c r="Z11" s="566"/>
      <c r="AA11" s="567"/>
      <c r="AB11" s="567"/>
      <c r="AC11" s="567"/>
      <c r="AD11" s="567"/>
      <c r="AE11" s="568"/>
      <c r="AF11" s="569"/>
      <c r="AG11" s="561"/>
      <c r="AH11" s="1021"/>
      <c r="AI11" s="989">
        <v>8</v>
      </c>
      <c r="AJ11" s="990"/>
      <c r="AK11" s="991"/>
      <c r="AL11" s="1026"/>
      <c r="AM11" s="712"/>
      <c r="AN11" s="567">
        <v>16</v>
      </c>
      <c r="AO11" s="567"/>
      <c r="AP11" s="567"/>
      <c r="AQ11" s="567"/>
      <c r="AR11" s="568"/>
      <c r="AS11" s="569"/>
      <c r="AT11" s="561"/>
      <c r="AU11" s="1021"/>
      <c r="AV11" s="42" t="s">
        <v>373</v>
      </c>
    </row>
    <row r="12" spans="1:48" ht="16.5" customHeight="1" thickBot="1">
      <c r="A12" s="1003" t="str">
        <f ca="1">IF(IBRF!B15="","",IBRF!B15)</f>
        <v>1879</v>
      </c>
      <c r="B12" s="554" t="s">
        <v>370</v>
      </c>
      <c r="C12" s="555"/>
      <c r="D12" s="555"/>
      <c r="E12" s="555"/>
      <c r="F12" s="555"/>
      <c r="G12" s="555"/>
      <c r="H12" s="556"/>
      <c r="I12" s="557"/>
      <c r="J12" s="1018">
        <f>IF(COUNTA(B12:H12)=0,"",COUNTA(B12:H12))</f>
        <v>1</v>
      </c>
      <c r="K12" s="992">
        <v>9</v>
      </c>
      <c r="L12" s="993"/>
      <c r="M12" s="994">
        <v>9</v>
      </c>
      <c r="N12" s="1003" t="str">
        <f ca="1">IF(IBRF!H15="","",IBRF!H15)</f>
        <v>38DD</v>
      </c>
      <c r="O12" s="554"/>
      <c r="P12" s="555"/>
      <c r="Q12" s="555"/>
      <c r="R12" s="555"/>
      <c r="S12" s="555"/>
      <c r="T12" s="555"/>
      <c r="U12" s="556"/>
      <c r="V12" s="557"/>
      <c r="W12" s="1018" t="str">
        <f>IF(COUNTA(O12:U12)=0,"",COUNTA(O12:U12))</f>
        <v/>
      </c>
      <c r="X12" s="48" t="s">
        <v>374</v>
      </c>
      <c r="Y12" s="1011" t="str">
        <f ca="1">IF(IBRF!B15="","",IBRF!B15)</f>
        <v>1879</v>
      </c>
      <c r="Z12" s="709"/>
      <c r="AA12" s="555"/>
      <c r="AB12" s="555"/>
      <c r="AC12" s="555"/>
      <c r="AD12" s="555"/>
      <c r="AE12" s="555"/>
      <c r="AF12" s="556"/>
      <c r="AG12" s="557"/>
      <c r="AH12" s="1018" t="str">
        <f>IF(COUNTA(Z12:AF12)=0,"",COUNTA(Z12:AF12))</f>
        <v/>
      </c>
      <c r="AI12" s="992">
        <v>9</v>
      </c>
      <c r="AJ12" s="993"/>
      <c r="AK12" s="994"/>
      <c r="AL12" s="1011" t="str">
        <f ca="1">IF(IBRF!H15="","",IBRF!H15)</f>
        <v>38DD</v>
      </c>
      <c r="AM12" s="554"/>
      <c r="AN12" s="555"/>
      <c r="AO12" s="555"/>
      <c r="AP12" s="555"/>
      <c r="AQ12" s="555"/>
      <c r="AR12" s="555"/>
      <c r="AS12" s="556"/>
      <c r="AT12" s="557"/>
      <c r="AU12" s="1018" t="str">
        <f>IF(COUNTA(AM12:AS12)=0,"",COUNTA(AM12:AS12))</f>
        <v/>
      </c>
      <c r="AV12" s="48" t="s">
        <v>374</v>
      </c>
    </row>
    <row r="13" spans="1:48" ht="16.5" customHeight="1" thickBot="1">
      <c r="A13" s="1004"/>
      <c r="B13" s="558">
        <v>3</v>
      </c>
      <c r="C13" s="559"/>
      <c r="D13" s="559"/>
      <c r="E13" s="559"/>
      <c r="F13" s="559"/>
      <c r="G13" s="559"/>
      <c r="H13" s="560"/>
      <c r="I13" s="561"/>
      <c r="J13" s="1019"/>
      <c r="K13" s="989">
        <v>10</v>
      </c>
      <c r="L13" s="990"/>
      <c r="M13" s="991">
        <v>10</v>
      </c>
      <c r="N13" s="1004"/>
      <c r="O13" s="558"/>
      <c r="P13" s="559"/>
      <c r="Q13" s="559"/>
      <c r="R13" s="559"/>
      <c r="S13" s="559"/>
      <c r="T13" s="559"/>
      <c r="U13" s="560"/>
      <c r="V13" s="561"/>
      <c r="W13" s="1019"/>
      <c r="X13" s="42" t="s">
        <v>375</v>
      </c>
      <c r="Y13" s="1011"/>
      <c r="Z13" s="710"/>
      <c r="AA13" s="559"/>
      <c r="AB13" s="559"/>
      <c r="AC13" s="559"/>
      <c r="AD13" s="559"/>
      <c r="AE13" s="559"/>
      <c r="AF13" s="560"/>
      <c r="AG13" s="561"/>
      <c r="AH13" s="1019"/>
      <c r="AI13" s="989">
        <v>10</v>
      </c>
      <c r="AJ13" s="990"/>
      <c r="AK13" s="991"/>
      <c r="AL13" s="1011"/>
      <c r="AM13" s="558"/>
      <c r="AN13" s="559"/>
      <c r="AO13" s="559"/>
      <c r="AP13" s="559"/>
      <c r="AQ13" s="559"/>
      <c r="AR13" s="559"/>
      <c r="AS13" s="560"/>
      <c r="AT13" s="561"/>
      <c r="AU13" s="1019"/>
      <c r="AV13" s="42" t="s">
        <v>375</v>
      </c>
    </row>
    <row r="14" spans="1:48" ht="16.5" customHeight="1">
      <c r="A14" s="1015" t="str">
        <f ca="1">IF(IBRF!B16="","",IBRF!B16)</f>
        <v>20</v>
      </c>
      <c r="B14" s="562"/>
      <c r="C14" s="563"/>
      <c r="D14" s="563"/>
      <c r="E14" s="563"/>
      <c r="F14" s="563"/>
      <c r="G14" s="564"/>
      <c r="H14" s="565"/>
      <c r="I14" s="557"/>
      <c r="J14" s="1020" t="str">
        <f>IF(COUNTA(B14:H14)=0,"",COUNTA(B14:H14))</f>
        <v/>
      </c>
      <c r="K14" s="992">
        <v>11</v>
      </c>
      <c r="L14" s="993"/>
      <c r="M14" s="994">
        <v>11</v>
      </c>
      <c r="N14" s="1015" t="str">
        <f ca="1">IF(IBRF!H16="","",IBRF!H16)</f>
        <v>42</v>
      </c>
      <c r="O14" s="562" t="s">
        <v>374</v>
      </c>
      <c r="P14" s="563"/>
      <c r="Q14" s="563"/>
      <c r="R14" s="563"/>
      <c r="S14" s="563"/>
      <c r="T14" s="564"/>
      <c r="U14" s="565"/>
      <c r="V14" s="557"/>
      <c r="W14" s="1020">
        <f>IF(COUNTA(O14:U14)=0,"",COUNTA(O14:U14))</f>
        <v>1</v>
      </c>
      <c r="X14" s="48" t="s">
        <v>529</v>
      </c>
      <c r="Y14" s="1025" t="str">
        <f ca="1">IF(IBRF!B16="","",IBRF!B16)</f>
        <v>20</v>
      </c>
      <c r="Z14" s="562"/>
      <c r="AA14" s="563"/>
      <c r="AB14" s="563"/>
      <c r="AC14" s="563"/>
      <c r="AD14" s="563"/>
      <c r="AE14" s="564"/>
      <c r="AF14" s="565"/>
      <c r="AG14" s="557"/>
      <c r="AH14" s="1020" t="str">
        <f>IF(COUNTA(Z14:AF14)=0,"",COUNTA(Z14:AF14))</f>
        <v/>
      </c>
      <c r="AI14" s="992">
        <v>11</v>
      </c>
      <c r="AJ14" s="993"/>
      <c r="AK14" s="994"/>
      <c r="AL14" s="1025" t="str">
        <f ca="1">IF(IBRF!H16="","",IBRF!H16)</f>
        <v>42</v>
      </c>
      <c r="AM14" s="711"/>
      <c r="AN14" s="563"/>
      <c r="AO14" s="563"/>
      <c r="AP14" s="563"/>
      <c r="AQ14" s="563"/>
      <c r="AR14" s="564"/>
      <c r="AS14" s="565"/>
      <c r="AT14" s="557"/>
      <c r="AU14" s="1020" t="str">
        <f>IF(COUNTA(AM14:AS14)=0,"",COUNTA(AM14:AS14))</f>
        <v/>
      </c>
      <c r="AV14" s="48" t="s">
        <v>529</v>
      </c>
    </row>
    <row r="15" spans="1:48" ht="16.5" customHeight="1" thickBot="1">
      <c r="A15" s="1016"/>
      <c r="B15" s="566"/>
      <c r="C15" s="567"/>
      <c r="D15" s="567"/>
      <c r="E15" s="567"/>
      <c r="F15" s="567"/>
      <c r="G15" s="568"/>
      <c r="H15" s="569"/>
      <c r="I15" s="561"/>
      <c r="J15" s="1021"/>
      <c r="K15" s="989">
        <v>12</v>
      </c>
      <c r="L15" s="990"/>
      <c r="M15" s="991">
        <v>12</v>
      </c>
      <c r="N15" s="1016"/>
      <c r="O15" s="566">
        <v>24</v>
      </c>
      <c r="P15" s="567"/>
      <c r="Q15" s="567"/>
      <c r="R15" s="567"/>
      <c r="S15" s="567"/>
      <c r="T15" s="568"/>
      <c r="U15" s="569"/>
      <c r="V15" s="561"/>
      <c r="W15" s="1021"/>
      <c r="X15" s="42" t="s">
        <v>530</v>
      </c>
      <c r="Y15" s="1026"/>
      <c r="Z15" s="566"/>
      <c r="AA15" s="567"/>
      <c r="AB15" s="567"/>
      <c r="AC15" s="567"/>
      <c r="AD15" s="567"/>
      <c r="AE15" s="568"/>
      <c r="AF15" s="569"/>
      <c r="AG15" s="561"/>
      <c r="AH15" s="1021"/>
      <c r="AI15" s="989">
        <v>12</v>
      </c>
      <c r="AJ15" s="990"/>
      <c r="AK15" s="991"/>
      <c r="AL15" s="1026"/>
      <c r="AM15" s="712"/>
      <c r="AN15" s="567"/>
      <c r="AO15" s="567"/>
      <c r="AP15" s="567"/>
      <c r="AQ15" s="567"/>
      <c r="AR15" s="568"/>
      <c r="AS15" s="569"/>
      <c r="AT15" s="561"/>
      <c r="AU15" s="1021"/>
      <c r="AV15" s="42" t="s">
        <v>530</v>
      </c>
    </row>
    <row r="16" spans="1:48" ht="16.5" customHeight="1" thickBot="1">
      <c r="A16" s="1003" t="str">
        <f ca="1">IF(IBRF!B17="","",IBRF!B17)</f>
        <v>20KN</v>
      </c>
      <c r="B16" s="554" t="s">
        <v>531</v>
      </c>
      <c r="C16" s="555"/>
      <c r="D16" s="555"/>
      <c r="E16" s="555"/>
      <c r="F16" s="555"/>
      <c r="G16" s="555"/>
      <c r="H16" s="556"/>
      <c r="I16" s="557"/>
      <c r="J16" s="1018">
        <f>IF(COUNTA(B16:H16)=0,"",COUNTA(B16:H16))</f>
        <v>1</v>
      </c>
      <c r="K16" s="992">
        <v>13</v>
      </c>
      <c r="L16" s="993"/>
      <c r="M16" s="994">
        <v>13</v>
      </c>
      <c r="N16" s="1003" t="str">
        <f ca="1">IF(IBRF!H17="","",IBRF!H17)</f>
        <v>50</v>
      </c>
      <c r="O16" s="554"/>
      <c r="P16" s="555"/>
      <c r="Q16" s="555"/>
      <c r="R16" s="555"/>
      <c r="S16" s="555"/>
      <c r="T16" s="555"/>
      <c r="U16" s="556"/>
      <c r="V16" s="557"/>
      <c r="W16" s="1018" t="str">
        <f>IF(COUNTA(O16:U16)=0,"",COUNTA(O16:U16))</f>
        <v/>
      </c>
      <c r="X16" s="48" t="s">
        <v>463</v>
      </c>
      <c r="Y16" s="1011" t="str">
        <f ca="1">IF(IBRF!B17="","",IBRF!B17)</f>
        <v>20KN</v>
      </c>
      <c r="Z16" s="709"/>
      <c r="AA16" s="555"/>
      <c r="AB16" s="555"/>
      <c r="AC16" s="555"/>
      <c r="AD16" s="555"/>
      <c r="AE16" s="555"/>
      <c r="AF16" s="556"/>
      <c r="AG16" s="557"/>
      <c r="AH16" s="1018" t="str">
        <f>IF(COUNTA(Z16:AF16)=0,"",COUNTA(Z16:AF16))</f>
        <v/>
      </c>
      <c r="AI16" s="992">
        <v>13</v>
      </c>
      <c r="AJ16" s="993"/>
      <c r="AK16" s="994"/>
      <c r="AL16" s="1011" t="str">
        <f ca="1">IF(IBRF!H17="","",IBRF!H17)</f>
        <v>50</v>
      </c>
      <c r="AM16" s="554" t="s">
        <v>461</v>
      </c>
      <c r="AN16" s="555" t="s">
        <v>531</v>
      </c>
      <c r="AO16" s="555"/>
      <c r="AP16" s="555"/>
      <c r="AQ16" s="555"/>
      <c r="AR16" s="555"/>
      <c r="AS16" s="556"/>
      <c r="AT16" s="557"/>
      <c r="AU16" s="1018">
        <f>IF(COUNTA(AM16:AS16)=0,"",COUNTA(AM16:AS16))</f>
        <v>2</v>
      </c>
      <c r="AV16" s="48" t="s">
        <v>463</v>
      </c>
    </row>
    <row r="17" spans="1:48" ht="16.5" customHeight="1" thickBot="1">
      <c r="A17" s="1004"/>
      <c r="B17" s="558">
        <v>24</v>
      </c>
      <c r="C17" s="559"/>
      <c r="D17" s="559"/>
      <c r="E17" s="559"/>
      <c r="F17" s="559"/>
      <c r="G17" s="559"/>
      <c r="H17" s="560"/>
      <c r="I17" s="561"/>
      <c r="J17" s="1019"/>
      <c r="K17" s="989">
        <v>14</v>
      </c>
      <c r="L17" s="990"/>
      <c r="M17" s="991">
        <v>14</v>
      </c>
      <c r="N17" s="1004"/>
      <c r="O17" s="558"/>
      <c r="P17" s="559"/>
      <c r="Q17" s="559"/>
      <c r="R17" s="559"/>
      <c r="S17" s="559"/>
      <c r="T17" s="559"/>
      <c r="U17" s="560"/>
      <c r="V17" s="561"/>
      <c r="W17" s="1019"/>
      <c r="X17" s="42" t="s">
        <v>464</v>
      </c>
      <c r="Y17" s="1011"/>
      <c r="Z17" s="710"/>
      <c r="AA17" s="559"/>
      <c r="AB17" s="559"/>
      <c r="AC17" s="559"/>
      <c r="AD17" s="559"/>
      <c r="AE17" s="559"/>
      <c r="AF17" s="560"/>
      <c r="AG17" s="561"/>
      <c r="AH17" s="1019"/>
      <c r="AI17" s="989">
        <v>14</v>
      </c>
      <c r="AJ17" s="990"/>
      <c r="AK17" s="991"/>
      <c r="AL17" s="1011"/>
      <c r="AM17" s="558">
        <v>16</v>
      </c>
      <c r="AN17" s="559">
        <v>17</v>
      </c>
      <c r="AO17" s="559"/>
      <c r="AP17" s="559"/>
      <c r="AQ17" s="559"/>
      <c r="AR17" s="559"/>
      <c r="AS17" s="560"/>
      <c r="AT17" s="561"/>
      <c r="AU17" s="1019"/>
      <c r="AV17" s="42" t="s">
        <v>464</v>
      </c>
    </row>
    <row r="18" spans="1:48" ht="16.5" customHeight="1">
      <c r="A18" s="1015" t="str">
        <f ca="1">IF(IBRF!B18="","",IBRF!B18)</f>
        <v>212</v>
      </c>
      <c r="B18" s="562" t="s">
        <v>370</v>
      </c>
      <c r="C18" s="563"/>
      <c r="D18" s="563"/>
      <c r="E18" s="563"/>
      <c r="F18" s="563"/>
      <c r="G18" s="564"/>
      <c r="H18" s="565"/>
      <c r="I18" s="557"/>
      <c r="J18" s="1020">
        <f>IF(COUNTA(B18:H18)=0,"",COUNTA(B18:H18))</f>
        <v>1</v>
      </c>
      <c r="K18" s="992">
        <v>15</v>
      </c>
      <c r="L18" s="993"/>
      <c r="M18" s="994">
        <v>15</v>
      </c>
      <c r="N18" s="1015" t="str">
        <f ca="1">IF(IBRF!H18="","",IBRF!H18)</f>
        <v>620</v>
      </c>
      <c r="O18" s="562" t="s">
        <v>531</v>
      </c>
      <c r="P18" s="563"/>
      <c r="Q18" s="563"/>
      <c r="R18" s="563"/>
      <c r="S18" s="563"/>
      <c r="T18" s="564"/>
      <c r="U18" s="565"/>
      <c r="V18" s="557"/>
      <c r="W18" s="1020">
        <f>IF(COUNTA(O18:U18)=0,"",COUNTA(O18:U18))</f>
        <v>1</v>
      </c>
      <c r="X18" s="48" t="s">
        <v>368</v>
      </c>
      <c r="Y18" s="1025" t="str">
        <f ca="1">IF(IBRF!B18="","",IBRF!B18)</f>
        <v>212</v>
      </c>
      <c r="Z18" s="711"/>
      <c r="AA18" s="563"/>
      <c r="AB18" s="563"/>
      <c r="AC18" s="563"/>
      <c r="AD18" s="563"/>
      <c r="AE18" s="564"/>
      <c r="AF18" s="565"/>
      <c r="AG18" s="557"/>
      <c r="AH18" s="1020" t="str">
        <f>IF(COUNTA(Z18:AF18)=0,"",COUNTA(Z18:AF18))</f>
        <v/>
      </c>
      <c r="AI18" s="992">
        <v>15</v>
      </c>
      <c r="AJ18" s="993"/>
      <c r="AK18" s="994"/>
      <c r="AL18" s="1025" t="str">
        <f ca="1">IF(IBRF!H18="","",IBRF!H18)</f>
        <v>620</v>
      </c>
      <c r="AM18" s="711"/>
      <c r="AN18" s="563" t="s">
        <v>531</v>
      </c>
      <c r="AO18" s="563"/>
      <c r="AP18" s="563"/>
      <c r="AQ18" s="563"/>
      <c r="AR18" s="564"/>
      <c r="AS18" s="565"/>
      <c r="AT18" s="557"/>
      <c r="AU18" s="1020">
        <f>IF(COUNTA(AM18:AS18)=0,"",COUNTA(AM18:AS18))</f>
        <v>1</v>
      </c>
      <c r="AV18" s="48" t="s">
        <v>368</v>
      </c>
    </row>
    <row r="19" spans="1:48" ht="16.5" customHeight="1" thickBot="1">
      <c r="A19" s="1016"/>
      <c r="B19" s="566">
        <v>24</v>
      </c>
      <c r="C19" s="567"/>
      <c r="D19" s="567"/>
      <c r="E19" s="567"/>
      <c r="F19" s="567"/>
      <c r="G19" s="568"/>
      <c r="H19" s="569"/>
      <c r="I19" s="561"/>
      <c r="J19" s="1021"/>
      <c r="K19" s="989">
        <v>16</v>
      </c>
      <c r="L19" s="990"/>
      <c r="M19" s="991">
        <v>16</v>
      </c>
      <c r="N19" s="1016"/>
      <c r="O19" s="566">
        <v>13</v>
      </c>
      <c r="P19" s="567"/>
      <c r="Q19" s="567"/>
      <c r="R19" s="567"/>
      <c r="S19" s="567"/>
      <c r="T19" s="568"/>
      <c r="U19" s="569"/>
      <c r="V19" s="561"/>
      <c r="W19" s="1021"/>
      <c r="X19" s="51" t="s">
        <v>369</v>
      </c>
      <c r="Y19" s="1026"/>
      <c r="Z19" s="712"/>
      <c r="AA19" s="567"/>
      <c r="AB19" s="567"/>
      <c r="AC19" s="567"/>
      <c r="AD19" s="567"/>
      <c r="AE19" s="568"/>
      <c r="AF19" s="569"/>
      <c r="AG19" s="561"/>
      <c r="AH19" s="1021"/>
      <c r="AI19" s="989">
        <v>16</v>
      </c>
      <c r="AJ19" s="990"/>
      <c r="AK19" s="991"/>
      <c r="AL19" s="1026"/>
      <c r="AM19" s="712"/>
      <c r="AN19" s="567">
        <v>13</v>
      </c>
      <c r="AO19" s="567"/>
      <c r="AP19" s="567"/>
      <c r="AQ19" s="567"/>
      <c r="AR19" s="568"/>
      <c r="AS19" s="569"/>
      <c r="AT19" s="561"/>
      <c r="AU19" s="1021"/>
      <c r="AV19" s="51" t="s">
        <v>369</v>
      </c>
    </row>
    <row r="20" spans="1:48" ht="16.5" customHeight="1" thickBot="1">
      <c r="A20" s="1003" t="str">
        <f ca="1">IF(IBRF!B19="","",IBRF!B19)</f>
        <v>33 1/3</v>
      </c>
      <c r="B20" s="554" t="s">
        <v>531</v>
      </c>
      <c r="C20" s="555"/>
      <c r="D20" s="555"/>
      <c r="E20" s="555"/>
      <c r="F20" s="555"/>
      <c r="G20" s="555"/>
      <c r="H20" s="556"/>
      <c r="I20" s="557"/>
      <c r="J20" s="1018">
        <f>IF(COUNTA(B20:H20)=0,"",COUNTA(B20:H20))</f>
        <v>1</v>
      </c>
      <c r="K20" s="992">
        <v>17</v>
      </c>
      <c r="L20" s="993"/>
      <c r="M20" s="994">
        <v>17</v>
      </c>
      <c r="N20" s="1003" t="str">
        <f ca="1">IF(IBRF!H19="","",IBRF!H19)</f>
        <v>7</v>
      </c>
      <c r="O20" s="554" t="s">
        <v>368</v>
      </c>
      <c r="P20" s="555" t="s">
        <v>370</v>
      </c>
      <c r="Q20" s="555"/>
      <c r="R20" s="555"/>
      <c r="S20" s="555"/>
      <c r="T20" s="555"/>
      <c r="U20" s="556"/>
      <c r="V20" s="557"/>
      <c r="W20" s="1018">
        <f>IF(COUNTA(O20:U20)=0,"",COUNTA(O20:U20))</f>
        <v>2</v>
      </c>
      <c r="X20" s="42" t="s">
        <v>535</v>
      </c>
      <c r="Y20" s="1011" t="str">
        <f ca="1">IF(IBRF!B19="","",IBRF!B19)</f>
        <v>33 1/3</v>
      </c>
      <c r="Z20" s="709"/>
      <c r="AA20" s="555" t="s">
        <v>533</v>
      </c>
      <c r="AB20" s="555"/>
      <c r="AC20" s="555"/>
      <c r="AD20" s="555"/>
      <c r="AE20" s="555"/>
      <c r="AF20" s="556"/>
      <c r="AG20" s="557"/>
      <c r="AH20" s="1018">
        <f>IF(COUNTA(Z20:AF20)=0,"",COUNTA(Z20:AF20))</f>
        <v>1</v>
      </c>
      <c r="AI20" s="992">
        <v>17</v>
      </c>
      <c r="AJ20" s="993"/>
      <c r="AK20" s="994"/>
      <c r="AL20" s="1011" t="str">
        <f ca="1">IF(IBRF!H19="","",IBRF!H19)</f>
        <v>7</v>
      </c>
      <c r="AM20" s="709"/>
      <c r="AN20" s="713"/>
      <c r="AO20" s="555" t="s">
        <v>531</v>
      </c>
      <c r="AP20" s="555" t="s">
        <v>374</v>
      </c>
      <c r="AQ20" s="555"/>
      <c r="AR20" s="555"/>
      <c r="AS20" s="556"/>
      <c r="AT20" s="557"/>
      <c r="AU20" s="1018">
        <f>IF(COUNTA(AM20:AS20)=0,"",COUNTA(AM20:AS20))</f>
        <v>2</v>
      </c>
      <c r="AV20" s="42" t="s">
        <v>535</v>
      </c>
    </row>
    <row r="21" spans="1:48" ht="16.5" customHeight="1" thickBot="1">
      <c r="A21" s="1004"/>
      <c r="B21" s="558">
        <v>13</v>
      </c>
      <c r="C21" s="559"/>
      <c r="D21" s="559"/>
      <c r="E21" s="559"/>
      <c r="F21" s="559"/>
      <c r="G21" s="559"/>
      <c r="H21" s="560"/>
      <c r="I21" s="561"/>
      <c r="J21" s="1019"/>
      <c r="K21" s="989">
        <v>18</v>
      </c>
      <c r="L21" s="990"/>
      <c r="M21" s="991">
        <v>18</v>
      </c>
      <c r="N21" s="1004"/>
      <c r="O21" s="558">
        <v>4</v>
      </c>
      <c r="P21" s="559">
        <v>20</v>
      </c>
      <c r="Q21" s="559"/>
      <c r="R21" s="559"/>
      <c r="S21" s="559"/>
      <c r="T21" s="559"/>
      <c r="U21" s="560"/>
      <c r="V21" s="561"/>
      <c r="W21" s="1019"/>
      <c r="X21" s="48" t="s">
        <v>533</v>
      </c>
      <c r="Y21" s="1011"/>
      <c r="Z21" s="710"/>
      <c r="AA21" s="559">
        <v>9</v>
      </c>
      <c r="AB21" s="559"/>
      <c r="AC21" s="559"/>
      <c r="AD21" s="559"/>
      <c r="AE21" s="559"/>
      <c r="AF21" s="560"/>
      <c r="AG21" s="561"/>
      <c r="AH21" s="1019"/>
      <c r="AI21" s="989">
        <v>18</v>
      </c>
      <c r="AJ21" s="990"/>
      <c r="AK21" s="991"/>
      <c r="AL21" s="1011"/>
      <c r="AM21" s="710"/>
      <c r="AN21" s="714"/>
      <c r="AO21" s="559">
        <v>16</v>
      </c>
      <c r="AP21" s="559">
        <v>20</v>
      </c>
      <c r="AQ21" s="559"/>
      <c r="AR21" s="559"/>
      <c r="AS21" s="560"/>
      <c r="AT21" s="561"/>
      <c r="AU21" s="1019"/>
      <c r="AV21" s="48" t="s">
        <v>533</v>
      </c>
    </row>
    <row r="22" spans="1:48" ht="16.5" customHeight="1">
      <c r="A22" s="1015" t="str">
        <f ca="1">IF(IBRF!B20="","",IBRF!B20)</f>
        <v>428</v>
      </c>
      <c r="B22" s="562"/>
      <c r="C22" s="563"/>
      <c r="D22" s="563"/>
      <c r="E22" s="563"/>
      <c r="F22" s="563"/>
      <c r="G22" s="564"/>
      <c r="H22" s="565"/>
      <c r="I22" s="557"/>
      <c r="J22" s="1020" t="str">
        <f>IF(COUNTA(B22:H22)=0,"",COUNTA(B22:H22))</f>
        <v/>
      </c>
      <c r="K22" s="992">
        <v>19</v>
      </c>
      <c r="L22" s="993"/>
      <c r="M22" s="994">
        <v>19</v>
      </c>
      <c r="N22" s="1015" t="str">
        <f ca="1">IF(IBRF!H20="","",IBRF!H20)</f>
        <v>72</v>
      </c>
      <c r="O22" s="562"/>
      <c r="P22" s="563"/>
      <c r="Q22" s="563"/>
      <c r="R22" s="563"/>
      <c r="S22" s="563"/>
      <c r="T22" s="564"/>
      <c r="U22" s="565"/>
      <c r="V22" s="557"/>
      <c r="W22" s="1020" t="str">
        <f>IF(COUNTA(O22:U22)=0,"",COUNTA(O22:U22))</f>
        <v/>
      </c>
      <c r="X22" s="312" t="s">
        <v>371</v>
      </c>
      <c r="Y22" s="1025" t="str">
        <f ca="1">IF(IBRF!B20="","",IBRF!B20)</f>
        <v>428</v>
      </c>
      <c r="Z22" s="562" t="s">
        <v>531</v>
      </c>
      <c r="AA22" s="563"/>
      <c r="AB22" s="563"/>
      <c r="AC22" s="563"/>
      <c r="AD22" s="563"/>
      <c r="AE22" s="564"/>
      <c r="AF22" s="565"/>
      <c r="AG22" s="557"/>
      <c r="AH22" s="1020">
        <f>IF(COUNTA(Z22:AF22)=0,"",COUNTA(Z22:AF22))</f>
        <v>1</v>
      </c>
      <c r="AI22" s="992">
        <v>19</v>
      </c>
      <c r="AJ22" s="993"/>
      <c r="AK22" s="994"/>
      <c r="AL22" s="1025" t="str">
        <f ca="1">IF(IBRF!H20="","",IBRF!H20)</f>
        <v>72</v>
      </c>
      <c r="AM22" s="562"/>
      <c r="AN22" s="563"/>
      <c r="AO22" s="563"/>
      <c r="AP22" s="563"/>
      <c r="AQ22" s="563"/>
      <c r="AR22" s="564"/>
      <c r="AS22" s="565"/>
      <c r="AT22" s="557"/>
      <c r="AU22" s="1020" t="str">
        <f>IF(COUNTA(AM22:AS22)=0,"",COUNTA(AM22:AS22))</f>
        <v/>
      </c>
      <c r="AV22" s="312" t="s">
        <v>371</v>
      </c>
    </row>
    <row r="23" spans="1:48" ht="16.5" customHeight="1" thickBot="1">
      <c r="A23" s="1016"/>
      <c r="B23" s="566"/>
      <c r="C23" s="567"/>
      <c r="D23" s="567"/>
      <c r="E23" s="567"/>
      <c r="F23" s="567"/>
      <c r="G23" s="568"/>
      <c r="H23" s="569"/>
      <c r="I23" s="561"/>
      <c r="J23" s="1021"/>
      <c r="K23" s="989">
        <v>20</v>
      </c>
      <c r="L23" s="990"/>
      <c r="M23" s="991">
        <v>20</v>
      </c>
      <c r="N23" s="1016"/>
      <c r="O23" s="566"/>
      <c r="P23" s="567"/>
      <c r="Q23" s="567"/>
      <c r="R23" s="567"/>
      <c r="S23" s="567"/>
      <c r="T23" s="568"/>
      <c r="U23" s="569"/>
      <c r="V23" s="561"/>
      <c r="W23" s="1021"/>
      <c r="X23" s="310" t="s">
        <v>536</v>
      </c>
      <c r="Y23" s="1026"/>
      <c r="Z23" s="566">
        <v>10</v>
      </c>
      <c r="AA23" s="567"/>
      <c r="AB23" s="567"/>
      <c r="AC23" s="567"/>
      <c r="AD23" s="567"/>
      <c r="AE23" s="568"/>
      <c r="AF23" s="569"/>
      <c r="AG23" s="561"/>
      <c r="AH23" s="1021"/>
      <c r="AI23" s="989">
        <v>20</v>
      </c>
      <c r="AJ23" s="990"/>
      <c r="AK23" s="991"/>
      <c r="AL23" s="1026"/>
      <c r="AM23" s="566"/>
      <c r="AN23" s="567"/>
      <c r="AO23" s="567"/>
      <c r="AP23" s="567"/>
      <c r="AQ23" s="567"/>
      <c r="AR23" s="568"/>
      <c r="AS23" s="569"/>
      <c r="AT23" s="561"/>
      <c r="AU23" s="1021"/>
      <c r="AV23" s="310" t="s">
        <v>536</v>
      </c>
    </row>
    <row r="24" spans="1:48" ht="16.5" customHeight="1" thickBot="1">
      <c r="A24" s="1003" t="str">
        <f ca="1">IF(IBRF!B21="","",IBRF!B21)</f>
        <v>6</v>
      </c>
      <c r="B24" s="554" t="s">
        <v>531</v>
      </c>
      <c r="C24" s="555" t="s">
        <v>378</v>
      </c>
      <c r="D24" s="555"/>
      <c r="E24" s="555"/>
      <c r="F24" s="555"/>
      <c r="G24" s="555"/>
      <c r="H24" s="556"/>
      <c r="I24" s="557"/>
      <c r="J24" s="1018">
        <f>IF(COUNTA(B24:H24)=0,"",COUNTA(B24:H24))</f>
        <v>2</v>
      </c>
      <c r="K24" s="992">
        <v>21</v>
      </c>
      <c r="L24" s="993"/>
      <c r="M24" s="994">
        <v>21</v>
      </c>
      <c r="N24" s="1003" t="str">
        <f ca="1">IF(IBRF!H21="","",IBRF!H21)</f>
        <v>9.81</v>
      </c>
      <c r="O24" s="554" t="s">
        <v>531</v>
      </c>
      <c r="P24" s="555"/>
      <c r="Q24" s="555"/>
      <c r="R24" s="555"/>
      <c r="S24" s="555"/>
      <c r="T24" s="555"/>
      <c r="U24" s="556"/>
      <c r="V24" s="557"/>
      <c r="W24" s="1018">
        <f>IF(COUNTA(O24:U24)=0,"",COUNTA(O24:U24))</f>
        <v>1</v>
      </c>
      <c r="X24" s="311" t="s">
        <v>537</v>
      </c>
      <c r="Y24" s="1011" t="str">
        <f ca="1">IF(IBRF!B21="","",IBRF!B21)</f>
        <v>6</v>
      </c>
      <c r="Z24" s="709"/>
      <c r="AA24" s="713"/>
      <c r="AB24" s="555" t="s">
        <v>461</v>
      </c>
      <c r="AC24" s="555"/>
      <c r="AD24" s="555"/>
      <c r="AE24" s="555"/>
      <c r="AF24" s="556"/>
      <c r="AG24" s="557"/>
      <c r="AH24" s="1018">
        <f>IF(COUNTA(Z24:AF24)=0,"",COUNTA(Z24:AF24))</f>
        <v>1</v>
      </c>
      <c r="AI24" s="992">
        <v>21</v>
      </c>
      <c r="AJ24" s="993"/>
      <c r="AK24" s="994"/>
      <c r="AL24" s="1011" t="str">
        <f ca="1">IF(IBRF!H21="","",IBRF!H21)</f>
        <v>9.81</v>
      </c>
      <c r="AM24" s="709"/>
      <c r="AN24" s="555"/>
      <c r="AO24" s="555"/>
      <c r="AP24" s="555"/>
      <c r="AQ24" s="555"/>
      <c r="AR24" s="555"/>
      <c r="AS24" s="556"/>
      <c r="AT24" s="557"/>
      <c r="AU24" s="1018" t="str">
        <f>IF(COUNTA(AM24:AS24)=0,"",COUNTA(AM24:AS24))</f>
        <v/>
      </c>
      <c r="AV24" s="311" t="s">
        <v>537</v>
      </c>
    </row>
    <row r="25" spans="1:48" ht="16.5" customHeight="1" thickBot="1">
      <c r="A25" s="1004"/>
      <c r="B25" s="558">
        <v>5</v>
      </c>
      <c r="C25" s="559">
        <v>19</v>
      </c>
      <c r="D25" s="559"/>
      <c r="E25" s="559"/>
      <c r="F25" s="559"/>
      <c r="G25" s="559"/>
      <c r="H25" s="560"/>
      <c r="I25" s="561"/>
      <c r="J25" s="1019"/>
      <c r="K25" s="989">
        <v>22</v>
      </c>
      <c r="L25" s="990"/>
      <c r="M25" s="991">
        <v>22</v>
      </c>
      <c r="N25" s="1004"/>
      <c r="O25" s="558">
        <v>20</v>
      </c>
      <c r="P25" s="559"/>
      <c r="Q25" s="559"/>
      <c r="R25" s="559"/>
      <c r="S25" s="559"/>
      <c r="T25" s="559"/>
      <c r="U25" s="560"/>
      <c r="V25" s="561"/>
      <c r="W25" s="1019"/>
      <c r="X25" s="48" t="s">
        <v>370</v>
      </c>
      <c r="Y25" s="1011"/>
      <c r="Z25" s="710"/>
      <c r="AA25" s="714"/>
      <c r="AB25" s="559">
        <v>3</v>
      </c>
      <c r="AC25" s="559"/>
      <c r="AD25" s="559"/>
      <c r="AE25" s="559"/>
      <c r="AF25" s="560"/>
      <c r="AG25" s="561"/>
      <c r="AH25" s="1019"/>
      <c r="AI25" s="989">
        <v>22</v>
      </c>
      <c r="AJ25" s="990"/>
      <c r="AK25" s="991"/>
      <c r="AL25" s="1011"/>
      <c r="AM25" s="710"/>
      <c r="AN25" s="559"/>
      <c r="AO25" s="559"/>
      <c r="AP25" s="559"/>
      <c r="AQ25" s="559"/>
      <c r="AR25" s="559"/>
      <c r="AS25" s="560"/>
      <c r="AT25" s="561"/>
      <c r="AU25" s="1019"/>
      <c r="AV25" s="48" t="s">
        <v>370</v>
      </c>
    </row>
    <row r="26" spans="1:48" ht="16.5" customHeight="1">
      <c r="A26" s="1015" t="str">
        <f ca="1">IF(IBRF!B22="","",IBRF!B22)</f>
        <v>728</v>
      </c>
      <c r="B26" s="562"/>
      <c r="C26" s="563"/>
      <c r="D26" s="563"/>
      <c r="E26" s="563"/>
      <c r="F26" s="563"/>
      <c r="G26" s="564"/>
      <c r="H26" s="565"/>
      <c r="I26" s="557"/>
      <c r="J26" s="1020" t="str">
        <f>IF(COUNTA(B26:H26)=0,"",COUNTA(B26:H26))</f>
        <v/>
      </c>
      <c r="K26" s="992">
        <v>23</v>
      </c>
      <c r="L26" s="993"/>
      <c r="M26" s="994">
        <v>23</v>
      </c>
      <c r="N26" s="1015" t="str">
        <f ca="1">IF(IBRF!H22="","",IBRF!H22)</f>
        <v>I-75</v>
      </c>
      <c r="O26" s="562"/>
      <c r="P26" s="563"/>
      <c r="Q26" s="563"/>
      <c r="R26" s="563"/>
      <c r="S26" s="563"/>
      <c r="T26" s="564"/>
      <c r="U26" s="565"/>
      <c r="V26" s="557"/>
      <c r="W26" s="1020" t="str">
        <f>IF(COUNTA(O26:U26)=0,"",COUNTA(O26:U26))</f>
        <v/>
      </c>
      <c r="X26" s="51" t="s">
        <v>242</v>
      </c>
      <c r="Y26" s="1025" t="str">
        <f ca="1">IF(IBRF!B22="","",IBRF!B22)</f>
        <v>728</v>
      </c>
      <c r="Z26" s="562" t="s">
        <v>531</v>
      </c>
      <c r="AA26" s="563" t="s">
        <v>374</v>
      </c>
      <c r="AB26" s="563" t="s">
        <v>531</v>
      </c>
      <c r="AC26" s="563"/>
      <c r="AD26" s="563"/>
      <c r="AE26" s="564"/>
      <c r="AF26" s="565"/>
      <c r="AG26" s="557"/>
      <c r="AH26" s="1020">
        <f>IF(COUNTA(Z26:AF26)=0,"",COUNTA(Z26:AF26))</f>
        <v>3</v>
      </c>
      <c r="AI26" s="992">
        <v>23</v>
      </c>
      <c r="AJ26" s="993"/>
      <c r="AK26" s="994"/>
      <c r="AL26" s="1025" t="str">
        <f ca="1">IF(IBRF!H22="","",IBRF!H22)</f>
        <v>I-75</v>
      </c>
      <c r="AM26" s="562"/>
      <c r="AN26" s="563"/>
      <c r="AO26" s="563"/>
      <c r="AP26" s="563"/>
      <c r="AQ26" s="563"/>
      <c r="AR26" s="564"/>
      <c r="AS26" s="565"/>
      <c r="AT26" s="557"/>
      <c r="AU26" s="1020" t="str">
        <f>IF(COUNTA(AM26:AS26)=0,"",COUNTA(AM26:AS26))</f>
        <v/>
      </c>
      <c r="AV26" s="51" t="s">
        <v>242</v>
      </c>
    </row>
    <row r="27" spans="1:48" ht="16.5" customHeight="1" thickBot="1">
      <c r="A27" s="1016"/>
      <c r="B27" s="566"/>
      <c r="C27" s="567"/>
      <c r="D27" s="567"/>
      <c r="E27" s="567"/>
      <c r="F27" s="567"/>
      <c r="G27" s="568"/>
      <c r="H27" s="569"/>
      <c r="I27" s="561"/>
      <c r="J27" s="1021"/>
      <c r="K27" s="989">
        <v>24</v>
      </c>
      <c r="L27" s="990"/>
      <c r="M27" s="991">
        <v>24</v>
      </c>
      <c r="N27" s="1016"/>
      <c r="O27" s="566"/>
      <c r="P27" s="567"/>
      <c r="Q27" s="567"/>
      <c r="R27" s="567"/>
      <c r="S27" s="567"/>
      <c r="T27" s="568"/>
      <c r="U27" s="569"/>
      <c r="V27" s="561"/>
      <c r="W27" s="1021"/>
      <c r="X27" s="335" t="s">
        <v>561</v>
      </c>
      <c r="Y27" s="1026"/>
      <c r="Z27" s="566">
        <v>3</v>
      </c>
      <c r="AA27" s="567">
        <v>17</v>
      </c>
      <c r="AB27" s="567">
        <v>17</v>
      </c>
      <c r="AC27" s="567"/>
      <c r="AD27" s="567"/>
      <c r="AE27" s="568"/>
      <c r="AF27" s="569"/>
      <c r="AG27" s="561"/>
      <c r="AH27" s="1021"/>
      <c r="AI27" s="989">
        <v>24</v>
      </c>
      <c r="AJ27" s="990"/>
      <c r="AK27" s="991"/>
      <c r="AL27" s="1026"/>
      <c r="AM27" s="566"/>
      <c r="AN27" s="567"/>
      <c r="AO27" s="567"/>
      <c r="AP27" s="567"/>
      <c r="AQ27" s="567"/>
      <c r="AR27" s="568"/>
      <c r="AS27" s="569"/>
      <c r="AT27" s="561"/>
      <c r="AU27" s="1021"/>
      <c r="AV27" s="335" t="s">
        <v>561</v>
      </c>
    </row>
    <row r="28" spans="1:48" ht="16.5" customHeight="1" thickBot="1">
      <c r="A28" s="1003" t="str">
        <f ca="1">IF(IBRF!B23="","",IBRF!B23)</f>
        <v>80</v>
      </c>
      <c r="B28" s="554"/>
      <c r="C28" s="555"/>
      <c r="D28" s="555"/>
      <c r="E28" s="555"/>
      <c r="F28" s="555"/>
      <c r="G28" s="555"/>
      <c r="H28" s="556"/>
      <c r="I28" s="557"/>
      <c r="J28" s="1018" t="str">
        <f>IF(COUNTA(B28:H28)=0,"",COUNTA(B28:H28))</f>
        <v/>
      </c>
      <c r="K28" s="992">
        <v>25</v>
      </c>
      <c r="L28" s="993"/>
      <c r="M28" s="994">
        <v>25</v>
      </c>
      <c r="N28" s="1003" t="str">
        <f ca="1">IF(IBRF!H23="","",IBRF!H23)</f>
        <v>N2O</v>
      </c>
      <c r="O28" s="554"/>
      <c r="P28" s="555"/>
      <c r="Q28" s="555"/>
      <c r="R28" s="555"/>
      <c r="S28" s="555"/>
      <c r="T28" s="555"/>
      <c r="U28" s="556"/>
      <c r="V28" s="557"/>
      <c r="W28" s="1018" t="str">
        <f>IF(COUNTA(O28:U28)=0,"",COUNTA(O28:U28))</f>
        <v/>
      </c>
      <c r="X28" s="311" t="s">
        <v>538</v>
      </c>
      <c r="Y28" s="1011" t="str">
        <f ca="1">IF(IBRF!B23="","",IBRF!B23)</f>
        <v>80</v>
      </c>
      <c r="Z28" s="554"/>
      <c r="AA28" s="555"/>
      <c r="AB28" s="555"/>
      <c r="AC28" s="555"/>
      <c r="AD28" s="555"/>
      <c r="AE28" s="555"/>
      <c r="AF28" s="556"/>
      <c r="AG28" s="557"/>
      <c r="AH28" s="1018" t="str">
        <f>IF(COUNTA(Z28:AF28)=0,"",COUNTA(Z28:AF28))</f>
        <v/>
      </c>
      <c r="AI28" s="992">
        <v>25</v>
      </c>
      <c r="AJ28" s="993"/>
      <c r="AK28" s="994"/>
      <c r="AL28" s="1011" t="str">
        <f ca="1">IF(IBRF!H23="","",IBRF!H23)</f>
        <v>N2O</v>
      </c>
      <c r="AM28" s="554" t="s">
        <v>531</v>
      </c>
      <c r="AN28" s="555" t="s">
        <v>370</v>
      </c>
      <c r="AO28" s="555"/>
      <c r="AP28" s="555"/>
      <c r="AQ28" s="555"/>
      <c r="AR28" s="555"/>
      <c r="AS28" s="556"/>
      <c r="AT28" s="557"/>
      <c r="AU28" s="1018">
        <f>IF(COUNTA(AM28:AS28)=0,"",COUNTA(AM28:AS28))</f>
        <v>2</v>
      </c>
      <c r="AV28" s="311" t="s">
        <v>538</v>
      </c>
    </row>
    <row r="29" spans="1:48" ht="16.5" customHeight="1" thickBot="1">
      <c r="A29" s="1004"/>
      <c r="B29" s="558"/>
      <c r="C29" s="559"/>
      <c r="D29" s="559"/>
      <c r="E29" s="559"/>
      <c r="F29" s="559"/>
      <c r="G29" s="559"/>
      <c r="H29" s="560"/>
      <c r="I29" s="561"/>
      <c r="J29" s="1019"/>
      <c r="K29" s="989">
        <v>26</v>
      </c>
      <c r="L29" s="990"/>
      <c r="M29" s="991">
        <v>26</v>
      </c>
      <c r="N29" s="1004"/>
      <c r="O29" s="558"/>
      <c r="P29" s="559"/>
      <c r="Q29" s="559"/>
      <c r="R29" s="559"/>
      <c r="S29" s="559"/>
      <c r="T29" s="559"/>
      <c r="U29" s="560"/>
      <c r="V29" s="561"/>
      <c r="W29" s="1019"/>
      <c r="X29" s="49" t="s">
        <v>531</v>
      </c>
      <c r="Y29" s="1011"/>
      <c r="Z29" s="558"/>
      <c r="AA29" s="559"/>
      <c r="AB29" s="559"/>
      <c r="AC29" s="559"/>
      <c r="AD29" s="559"/>
      <c r="AE29" s="559"/>
      <c r="AF29" s="560"/>
      <c r="AG29" s="561"/>
      <c r="AH29" s="1019"/>
      <c r="AI29" s="989">
        <v>26</v>
      </c>
      <c r="AJ29" s="990"/>
      <c r="AK29" s="991"/>
      <c r="AL29" s="1011"/>
      <c r="AM29" s="558">
        <v>15</v>
      </c>
      <c r="AN29" s="559">
        <v>20</v>
      </c>
      <c r="AO29" s="559"/>
      <c r="AP29" s="559"/>
      <c r="AQ29" s="559"/>
      <c r="AR29" s="559"/>
      <c r="AS29" s="560"/>
      <c r="AT29" s="561"/>
      <c r="AU29" s="1019"/>
      <c r="AV29" s="49" t="s">
        <v>531</v>
      </c>
    </row>
    <row r="30" spans="1:48" ht="16.5" customHeight="1" thickBot="1">
      <c r="A30" s="1033" t="str">
        <f ca="1">IF(IBRF!B24="","",IBRF!B24)</f>
        <v>9.99</v>
      </c>
      <c r="B30" s="562"/>
      <c r="C30" s="563"/>
      <c r="D30" s="563"/>
      <c r="E30" s="563"/>
      <c r="F30" s="563"/>
      <c r="G30" s="564"/>
      <c r="H30" s="565"/>
      <c r="I30" s="557"/>
      <c r="J30" s="1020" t="str">
        <f>IF(COUNTA(B30:H30)=0,"",COUNTA(B30:H30))</f>
        <v/>
      </c>
      <c r="K30" s="992">
        <v>27</v>
      </c>
      <c r="L30" s="993"/>
      <c r="M30" s="994">
        <v>27</v>
      </c>
      <c r="N30" s="1015" t="str">
        <f ca="1">IF(IBRF!H24="","",IBRF!H24)</f>
        <v>W00T</v>
      </c>
      <c r="O30" s="562"/>
      <c r="P30" s="563"/>
      <c r="Q30" s="563"/>
      <c r="R30" s="563"/>
      <c r="S30" s="563"/>
      <c r="T30" s="564"/>
      <c r="U30" s="565"/>
      <c r="V30" s="557"/>
      <c r="W30" s="1020" t="str">
        <f>IF(COUNTA(O30:U30)=0,"",COUNTA(O30:U30))</f>
        <v/>
      </c>
      <c r="X30" s="42" t="s">
        <v>532</v>
      </c>
      <c r="Y30" s="1030" t="str">
        <f ca="1">IF(IBRF!B24="","",IBRF!B24)</f>
        <v>9.99</v>
      </c>
      <c r="Z30" s="562"/>
      <c r="AA30" s="563"/>
      <c r="AB30" s="563"/>
      <c r="AC30" s="563"/>
      <c r="AD30" s="563"/>
      <c r="AE30" s="564"/>
      <c r="AF30" s="565"/>
      <c r="AG30" s="557"/>
      <c r="AH30" s="1020" t="str">
        <f>IF(COUNTA(Z30:AF30)=0,"",COUNTA(Z30:AF30))</f>
        <v/>
      </c>
      <c r="AI30" s="992">
        <v>27</v>
      </c>
      <c r="AJ30" s="993"/>
      <c r="AK30" s="994"/>
      <c r="AL30" s="1025" t="str">
        <f ca="1">IF(IBRF!H24="","",IBRF!H24)</f>
        <v>W00T</v>
      </c>
      <c r="AM30" s="562"/>
      <c r="AN30" s="563"/>
      <c r="AO30" s="563"/>
      <c r="AP30" s="563"/>
      <c r="AQ30" s="563"/>
      <c r="AR30" s="564"/>
      <c r="AS30" s="565"/>
      <c r="AT30" s="557"/>
      <c r="AU30" s="1020" t="str">
        <f>IF(COUNTA(AM30:AS30)=0,"",COUNTA(AM30:AS30))</f>
        <v/>
      </c>
      <c r="AV30" s="42" t="s">
        <v>532</v>
      </c>
    </row>
    <row r="31" spans="1:48" ht="16.5" customHeight="1" thickBot="1">
      <c r="A31" s="1034"/>
      <c r="B31" s="566"/>
      <c r="C31" s="567"/>
      <c r="D31" s="567"/>
      <c r="E31" s="567"/>
      <c r="F31" s="567"/>
      <c r="G31" s="568"/>
      <c r="H31" s="569"/>
      <c r="I31" s="561"/>
      <c r="J31" s="1021"/>
      <c r="K31" s="989">
        <v>28</v>
      </c>
      <c r="L31" s="990"/>
      <c r="M31" s="991">
        <v>28</v>
      </c>
      <c r="N31" s="1016"/>
      <c r="O31" s="566"/>
      <c r="P31" s="567"/>
      <c r="Q31" s="567"/>
      <c r="R31" s="567"/>
      <c r="S31" s="567"/>
      <c r="T31" s="568"/>
      <c r="U31" s="569"/>
      <c r="V31" s="561"/>
      <c r="W31" s="1021"/>
      <c r="X31" s="49" t="s">
        <v>243</v>
      </c>
      <c r="Y31" s="1031"/>
      <c r="Z31" s="566"/>
      <c r="AA31" s="567"/>
      <c r="AB31" s="567"/>
      <c r="AC31" s="567"/>
      <c r="AD31" s="567"/>
      <c r="AE31" s="568"/>
      <c r="AF31" s="569"/>
      <c r="AG31" s="561"/>
      <c r="AH31" s="1021"/>
      <c r="AI31" s="989">
        <v>28</v>
      </c>
      <c r="AJ31" s="990"/>
      <c r="AK31" s="991"/>
      <c r="AL31" s="1026"/>
      <c r="AM31" s="566"/>
      <c r="AN31" s="567"/>
      <c r="AO31" s="567"/>
      <c r="AP31" s="567"/>
      <c r="AQ31" s="567"/>
      <c r="AR31" s="568"/>
      <c r="AS31" s="569"/>
      <c r="AT31" s="561"/>
      <c r="AU31" s="1021"/>
      <c r="AV31" s="49" t="s">
        <v>243</v>
      </c>
    </row>
    <row r="32" spans="1:48" ht="16.5" customHeight="1" thickBot="1">
      <c r="A32" s="1003" t="str">
        <f ca="1">IF(IBRF!B25="","",IBRF!B25)</f>
        <v>F14</v>
      </c>
      <c r="B32" s="554"/>
      <c r="C32" s="555"/>
      <c r="D32" s="555"/>
      <c r="E32" s="555"/>
      <c r="F32" s="555"/>
      <c r="G32" s="555"/>
      <c r="H32" s="556"/>
      <c r="I32" s="557"/>
      <c r="J32" s="1018" t="str">
        <f>IF(COUNTA(B32:H32)=0,"",COUNTA(B32:H32))</f>
        <v/>
      </c>
      <c r="K32" s="992">
        <v>29</v>
      </c>
      <c r="L32" s="993"/>
      <c r="M32" s="994">
        <v>29</v>
      </c>
      <c r="N32" s="1003" t="str">
        <f ca="1">IF(IBRF!H25="","",IBRF!H25)</f>
        <v>Z28</v>
      </c>
      <c r="O32" s="554"/>
      <c r="P32" s="555"/>
      <c r="Q32" s="555"/>
      <c r="R32" s="555"/>
      <c r="S32" s="555"/>
      <c r="T32" s="555"/>
      <c r="U32" s="556"/>
      <c r="V32" s="557"/>
      <c r="W32" s="1018" t="str">
        <f>IF(COUNTA(O32:U32)=0,"",COUNTA(O32:U32))</f>
        <v/>
      </c>
      <c r="X32" s="42" t="s">
        <v>244</v>
      </c>
      <c r="Y32" s="1011" t="str">
        <f ca="1">IF(IBRF!B25="","",IBRF!B25)</f>
        <v>F14</v>
      </c>
      <c r="Z32" s="554"/>
      <c r="AA32" s="555"/>
      <c r="AB32" s="555"/>
      <c r="AC32" s="555"/>
      <c r="AD32" s="555"/>
      <c r="AE32" s="555"/>
      <c r="AF32" s="556"/>
      <c r="AG32" s="557"/>
      <c r="AH32" s="1018" t="str">
        <f>IF(COUNTA(Z32:AF32)=0,"",COUNTA(Z32:AF32))</f>
        <v/>
      </c>
      <c r="AI32" s="992">
        <v>29</v>
      </c>
      <c r="AJ32" s="993"/>
      <c r="AK32" s="994"/>
      <c r="AL32" s="1011" t="str">
        <f ca="1">IF(IBRF!H25="","",IBRF!H25)</f>
        <v>Z28</v>
      </c>
      <c r="AM32" s="554"/>
      <c r="AN32" s="555"/>
      <c r="AO32" s="555"/>
      <c r="AP32" s="555"/>
      <c r="AQ32" s="555"/>
      <c r="AR32" s="555"/>
      <c r="AS32" s="556"/>
      <c r="AT32" s="557"/>
      <c r="AU32" s="1018" t="str">
        <f>IF(COUNTA(AM32:AS32)=0,"",COUNTA(AM32:AS32))</f>
        <v/>
      </c>
      <c r="AV32" s="42" t="s">
        <v>244</v>
      </c>
    </row>
    <row r="33" spans="1:48" ht="16.5" customHeight="1" thickBot="1">
      <c r="A33" s="1004"/>
      <c r="B33" s="558"/>
      <c r="C33" s="559"/>
      <c r="D33" s="559"/>
      <c r="E33" s="559"/>
      <c r="F33" s="559"/>
      <c r="G33" s="559"/>
      <c r="H33" s="560"/>
      <c r="I33" s="561"/>
      <c r="J33" s="1019"/>
      <c r="K33" s="989">
        <v>30</v>
      </c>
      <c r="L33" s="990"/>
      <c r="M33" s="991">
        <v>30</v>
      </c>
      <c r="N33" s="1004"/>
      <c r="O33" s="558"/>
      <c r="P33" s="559"/>
      <c r="Q33" s="559"/>
      <c r="R33" s="559"/>
      <c r="S33" s="559"/>
      <c r="T33" s="559"/>
      <c r="U33" s="560"/>
      <c r="V33" s="561"/>
      <c r="W33" s="1019"/>
      <c r="X33" s="50" t="s">
        <v>378</v>
      </c>
      <c r="Y33" s="1011"/>
      <c r="Z33" s="558"/>
      <c r="AA33" s="559"/>
      <c r="AB33" s="559"/>
      <c r="AC33" s="559"/>
      <c r="AD33" s="559"/>
      <c r="AE33" s="559"/>
      <c r="AF33" s="560"/>
      <c r="AG33" s="561"/>
      <c r="AH33" s="1019"/>
      <c r="AI33" s="989">
        <v>30</v>
      </c>
      <c r="AJ33" s="990"/>
      <c r="AK33" s="991"/>
      <c r="AL33" s="1011"/>
      <c r="AM33" s="558"/>
      <c r="AN33" s="559"/>
      <c r="AO33" s="559"/>
      <c r="AP33" s="559"/>
      <c r="AQ33" s="559"/>
      <c r="AR33" s="559"/>
      <c r="AS33" s="560"/>
      <c r="AT33" s="561"/>
      <c r="AU33" s="1019"/>
      <c r="AV33" s="50" t="s">
        <v>378</v>
      </c>
    </row>
    <row r="34" spans="1:48" ht="16.5" customHeight="1">
      <c r="A34" s="1015" t="str">
        <f ca="1">IF(IBRF!B26="","",IBRF!B26)</f>
        <v/>
      </c>
      <c r="B34" s="562"/>
      <c r="C34" s="563"/>
      <c r="D34" s="563"/>
      <c r="E34" s="563"/>
      <c r="F34" s="563"/>
      <c r="G34" s="564"/>
      <c r="H34" s="565"/>
      <c r="I34" s="557"/>
      <c r="J34" s="1020" t="str">
        <f>IF(COUNTA(B34:H34)=0,"",COUNTA(B34:H34))</f>
        <v/>
      </c>
      <c r="K34" s="992">
        <v>31</v>
      </c>
      <c r="L34" s="993"/>
      <c r="M34" s="994">
        <v>31</v>
      </c>
      <c r="N34" s="1015" t="str">
        <f ca="1">IF(IBRF!H26="","",IBRF!H26)</f>
        <v/>
      </c>
      <c r="O34" s="562"/>
      <c r="P34" s="563"/>
      <c r="Q34" s="563"/>
      <c r="R34" s="563"/>
      <c r="S34" s="563"/>
      <c r="T34" s="564"/>
      <c r="U34" s="565"/>
      <c r="V34" s="557"/>
      <c r="W34" s="1020" t="str">
        <f>IF(COUNTA(O34:U34)=0,"",COUNTA(O34:U34))</f>
        <v/>
      </c>
      <c r="X34" s="51" t="s">
        <v>541</v>
      </c>
      <c r="Y34" s="1025" t="str">
        <f ca="1">IF(IBRF!B26="","",IBRF!B26)</f>
        <v/>
      </c>
      <c r="Z34" s="562"/>
      <c r="AA34" s="563"/>
      <c r="AB34" s="563"/>
      <c r="AC34" s="563"/>
      <c r="AD34" s="563"/>
      <c r="AE34" s="564"/>
      <c r="AF34" s="565"/>
      <c r="AG34" s="557"/>
      <c r="AH34" s="1020" t="str">
        <f>IF(COUNTA(Z34:AF34)=0,"",COUNTA(Z34:AF34))</f>
        <v/>
      </c>
      <c r="AI34" s="992">
        <v>31</v>
      </c>
      <c r="AJ34" s="993"/>
      <c r="AK34" s="994"/>
      <c r="AL34" s="1025" t="str">
        <f ca="1">IF(IBRF!H26="","",IBRF!H26)</f>
        <v/>
      </c>
      <c r="AM34" s="562"/>
      <c r="AN34" s="563"/>
      <c r="AO34" s="563"/>
      <c r="AP34" s="563"/>
      <c r="AQ34" s="563"/>
      <c r="AR34" s="564"/>
      <c r="AS34" s="565"/>
      <c r="AT34" s="557"/>
      <c r="AU34" s="1020" t="str">
        <f>IF(COUNTA(AM34:AS34)=0,"",COUNTA(AM34:AS34))</f>
        <v/>
      </c>
      <c r="AV34" s="51" t="s">
        <v>541</v>
      </c>
    </row>
    <row r="35" spans="1:48" ht="16.5" customHeight="1" thickBot="1">
      <c r="A35" s="1016"/>
      <c r="B35" s="566"/>
      <c r="C35" s="567"/>
      <c r="D35" s="567"/>
      <c r="E35" s="567"/>
      <c r="F35" s="567"/>
      <c r="G35" s="568"/>
      <c r="H35" s="569"/>
      <c r="I35" s="561"/>
      <c r="J35" s="1021"/>
      <c r="K35" s="989">
        <v>32</v>
      </c>
      <c r="L35" s="990"/>
      <c r="M35" s="991">
        <v>32</v>
      </c>
      <c r="N35" s="1016"/>
      <c r="O35" s="566"/>
      <c r="P35" s="567"/>
      <c r="Q35" s="567"/>
      <c r="R35" s="567"/>
      <c r="S35" s="567"/>
      <c r="T35" s="568"/>
      <c r="U35" s="569"/>
      <c r="V35" s="561"/>
      <c r="W35" s="1021"/>
      <c r="X35" s="310" t="s">
        <v>539</v>
      </c>
      <c r="Y35" s="1026"/>
      <c r="Z35" s="566"/>
      <c r="AA35" s="567"/>
      <c r="AB35" s="567"/>
      <c r="AC35" s="567"/>
      <c r="AD35" s="567"/>
      <c r="AE35" s="568"/>
      <c r="AF35" s="569"/>
      <c r="AG35" s="561"/>
      <c r="AH35" s="1021"/>
      <c r="AI35" s="989">
        <v>32</v>
      </c>
      <c r="AJ35" s="990"/>
      <c r="AK35" s="991"/>
      <c r="AL35" s="1026"/>
      <c r="AM35" s="566"/>
      <c r="AN35" s="567"/>
      <c r="AO35" s="567"/>
      <c r="AP35" s="567"/>
      <c r="AQ35" s="567"/>
      <c r="AR35" s="568"/>
      <c r="AS35" s="569"/>
      <c r="AT35" s="561"/>
      <c r="AU35" s="1021"/>
      <c r="AV35" s="310" t="s">
        <v>539</v>
      </c>
    </row>
    <row r="36" spans="1:48" ht="16.5" customHeight="1" thickBot="1">
      <c r="A36" s="1003" t="str">
        <f ca="1">IF(IBRF!B27="","",IBRF!B27)</f>
        <v/>
      </c>
      <c r="B36" s="554"/>
      <c r="C36" s="555"/>
      <c r="D36" s="555"/>
      <c r="E36" s="555"/>
      <c r="F36" s="555"/>
      <c r="G36" s="555"/>
      <c r="H36" s="556"/>
      <c r="I36" s="557"/>
      <c r="J36" s="1018" t="str">
        <f>IF(COUNTA(B36:H36)=0,"",COUNTA(B36:H36))</f>
        <v/>
      </c>
      <c r="K36" s="992">
        <v>33</v>
      </c>
      <c r="L36" s="993"/>
      <c r="M36" s="994">
        <v>33</v>
      </c>
      <c r="N36" s="1003" t="str">
        <f ca="1">IF(IBRF!H27="","",IBRF!H27)</f>
        <v/>
      </c>
      <c r="O36" s="554"/>
      <c r="P36" s="555"/>
      <c r="Q36" s="555"/>
      <c r="R36" s="555"/>
      <c r="S36" s="555"/>
      <c r="T36" s="555"/>
      <c r="U36" s="556"/>
      <c r="V36" s="557"/>
      <c r="W36" s="1018" t="str">
        <f>IF(COUNTA(O36:U36)=0,"",COUNTA(O36:U36))</f>
        <v/>
      </c>
      <c r="X36" s="311" t="s">
        <v>540</v>
      </c>
      <c r="Y36" s="1011" t="str">
        <f ca="1">IF(IBRF!B27="","",IBRF!B27)</f>
        <v/>
      </c>
      <c r="Z36" s="554"/>
      <c r="AA36" s="555"/>
      <c r="AB36" s="555"/>
      <c r="AC36" s="555"/>
      <c r="AD36" s="555"/>
      <c r="AE36" s="555"/>
      <c r="AF36" s="556"/>
      <c r="AG36" s="557"/>
      <c r="AH36" s="1018" t="str">
        <f>IF(COUNTA(Z36:AF36)=0,"",COUNTA(Z36:AF36))</f>
        <v/>
      </c>
      <c r="AI36" s="992">
        <v>33</v>
      </c>
      <c r="AJ36" s="993"/>
      <c r="AK36" s="994"/>
      <c r="AL36" s="1011" t="str">
        <f ca="1">IF(IBRF!H27="","",IBRF!H27)</f>
        <v/>
      </c>
      <c r="AM36" s="554"/>
      <c r="AN36" s="555"/>
      <c r="AO36" s="555"/>
      <c r="AP36" s="555"/>
      <c r="AQ36" s="555"/>
      <c r="AR36" s="555"/>
      <c r="AS36" s="556"/>
      <c r="AT36" s="557"/>
      <c r="AU36" s="1018" t="str">
        <f>IF(COUNTA(AM36:AS36)=0,"",COUNTA(AM36:AS36))</f>
        <v/>
      </c>
      <c r="AV36" s="311" t="s">
        <v>540</v>
      </c>
    </row>
    <row r="37" spans="1:48" ht="16.5" customHeight="1" thickBot="1">
      <c r="A37" s="1004"/>
      <c r="B37" s="558"/>
      <c r="C37" s="559"/>
      <c r="D37" s="559"/>
      <c r="E37" s="559"/>
      <c r="F37" s="559"/>
      <c r="G37" s="559"/>
      <c r="H37" s="560"/>
      <c r="I37" s="561"/>
      <c r="J37" s="1019"/>
      <c r="K37" s="989">
        <v>34</v>
      </c>
      <c r="L37" s="990"/>
      <c r="M37" s="991">
        <v>34</v>
      </c>
      <c r="N37" s="1004"/>
      <c r="O37" s="558"/>
      <c r="P37" s="559"/>
      <c r="Q37" s="559"/>
      <c r="R37" s="559"/>
      <c r="S37" s="559"/>
      <c r="T37" s="559"/>
      <c r="U37" s="560"/>
      <c r="V37" s="561"/>
      <c r="W37" s="1019"/>
      <c r="X37" s="48" t="s">
        <v>246</v>
      </c>
      <c r="Y37" s="1011"/>
      <c r="Z37" s="558"/>
      <c r="AA37" s="559"/>
      <c r="AB37" s="559"/>
      <c r="AC37" s="559"/>
      <c r="AD37" s="559"/>
      <c r="AE37" s="559"/>
      <c r="AF37" s="560"/>
      <c r="AG37" s="561"/>
      <c r="AH37" s="1019"/>
      <c r="AI37" s="989">
        <v>34</v>
      </c>
      <c r="AJ37" s="990"/>
      <c r="AK37" s="991"/>
      <c r="AL37" s="1011"/>
      <c r="AM37" s="558"/>
      <c r="AN37" s="559"/>
      <c r="AO37" s="559"/>
      <c r="AP37" s="559"/>
      <c r="AQ37" s="559"/>
      <c r="AR37" s="559"/>
      <c r="AS37" s="560"/>
      <c r="AT37" s="561"/>
      <c r="AU37" s="1019"/>
      <c r="AV37" s="48" t="s">
        <v>246</v>
      </c>
    </row>
    <row r="38" spans="1:48" ht="16.5" customHeight="1" thickBot="1">
      <c r="A38" s="1015" t="str">
        <f ca="1">IF(IBRF!B28="","",IBRF!B28)</f>
        <v/>
      </c>
      <c r="B38" s="562"/>
      <c r="C38" s="563"/>
      <c r="D38" s="563"/>
      <c r="E38" s="563"/>
      <c r="F38" s="563"/>
      <c r="G38" s="564"/>
      <c r="H38" s="565"/>
      <c r="I38" s="557"/>
      <c r="J38" s="1020" t="str">
        <f>IF(COUNTA(B38:H38)=0,"",COUNTA(B38:H38))</f>
        <v/>
      </c>
      <c r="K38" s="992">
        <v>35</v>
      </c>
      <c r="L38" s="993"/>
      <c r="M38" s="994">
        <v>35</v>
      </c>
      <c r="N38" s="1015" t="str">
        <f ca="1">IF(IBRF!H28="","",IBRF!H28)</f>
        <v/>
      </c>
      <c r="O38" s="562"/>
      <c r="P38" s="563"/>
      <c r="Q38" s="563"/>
      <c r="R38" s="563"/>
      <c r="S38" s="563"/>
      <c r="T38" s="564"/>
      <c r="U38" s="565"/>
      <c r="V38" s="557"/>
      <c r="W38" s="1020" t="str">
        <f>IF(COUNTA(O38:U38)=0,"",COUNTA(O38:U38))</f>
        <v/>
      </c>
      <c r="X38" s="42" t="s">
        <v>247</v>
      </c>
      <c r="Y38" s="1025" t="str">
        <f ca="1">IF(IBRF!B28="","",IBRF!B28)</f>
        <v/>
      </c>
      <c r="Z38" s="562"/>
      <c r="AA38" s="563"/>
      <c r="AB38" s="563"/>
      <c r="AC38" s="563"/>
      <c r="AD38" s="563"/>
      <c r="AE38" s="564"/>
      <c r="AF38" s="565"/>
      <c r="AG38" s="557"/>
      <c r="AH38" s="1020" t="str">
        <f>IF(COUNTA(Z38:AF38)=0,"",COUNTA(Z38:AF38))</f>
        <v/>
      </c>
      <c r="AI38" s="992">
        <v>35</v>
      </c>
      <c r="AJ38" s="993"/>
      <c r="AK38" s="994"/>
      <c r="AL38" s="1025" t="str">
        <f ca="1">IF(IBRF!H28="","",IBRF!H28)</f>
        <v/>
      </c>
      <c r="AM38" s="562"/>
      <c r="AN38" s="563"/>
      <c r="AO38" s="563"/>
      <c r="AP38" s="563"/>
      <c r="AQ38" s="563"/>
      <c r="AR38" s="564"/>
      <c r="AS38" s="565"/>
      <c r="AT38" s="557"/>
      <c r="AU38" s="1020" t="str">
        <f>IF(COUNTA(AM38:AS38)=0,"",COUNTA(AM38:AS38))</f>
        <v/>
      </c>
      <c r="AV38" s="42" t="s">
        <v>247</v>
      </c>
    </row>
    <row r="39" spans="1:48" ht="16.5" customHeight="1" thickBot="1">
      <c r="A39" s="1016"/>
      <c r="B39" s="566"/>
      <c r="C39" s="567"/>
      <c r="D39" s="567"/>
      <c r="E39" s="567"/>
      <c r="F39" s="567"/>
      <c r="G39" s="568"/>
      <c r="H39" s="569"/>
      <c r="I39" s="561"/>
      <c r="J39" s="1021"/>
      <c r="K39" s="989">
        <v>36</v>
      </c>
      <c r="L39" s="990"/>
      <c r="M39" s="991">
        <v>36</v>
      </c>
      <c r="N39" s="1016"/>
      <c r="O39" s="566"/>
      <c r="P39" s="567"/>
      <c r="Q39" s="567"/>
      <c r="R39" s="567"/>
      <c r="S39" s="567"/>
      <c r="T39" s="568"/>
      <c r="U39" s="569"/>
      <c r="V39" s="561"/>
      <c r="W39" s="1021"/>
      <c r="X39" s="48" t="s">
        <v>517</v>
      </c>
      <c r="Y39" s="1026"/>
      <c r="Z39" s="566"/>
      <c r="AA39" s="567"/>
      <c r="AB39" s="567"/>
      <c r="AC39" s="567"/>
      <c r="AD39" s="567"/>
      <c r="AE39" s="568"/>
      <c r="AF39" s="569"/>
      <c r="AG39" s="561"/>
      <c r="AH39" s="1021"/>
      <c r="AI39" s="989">
        <v>36</v>
      </c>
      <c r="AJ39" s="990"/>
      <c r="AK39" s="991"/>
      <c r="AL39" s="1026"/>
      <c r="AM39" s="566"/>
      <c r="AN39" s="567"/>
      <c r="AO39" s="567"/>
      <c r="AP39" s="567"/>
      <c r="AQ39" s="567"/>
      <c r="AR39" s="568"/>
      <c r="AS39" s="569"/>
      <c r="AT39" s="561"/>
      <c r="AU39" s="1021"/>
      <c r="AV39" s="48" t="s">
        <v>517</v>
      </c>
    </row>
    <row r="40" spans="1:48" ht="16.5" customHeight="1" thickBot="1">
      <c r="A40" s="1003" t="str">
        <f ca="1">IF(IBRF!B29="","",IBRF!B29)</f>
        <v/>
      </c>
      <c r="B40" s="554"/>
      <c r="C40" s="555"/>
      <c r="D40" s="555"/>
      <c r="E40" s="555"/>
      <c r="F40" s="555"/>
      <c r="G40" s="555"/>
      <c r="H40" s="556"/>
      <c r="I40" s="557"/>
      <c r="J40" s="1018" t="str">
        <f>IF(COUNTA(B40:H40)=0,"",COUNTA(B40:H40))</f>
        <v/>
      </c>
      <c r="K40" s="992">
        <v>37</v>
      </c>
      <c r="L40" s="993"/>
      <c r="M40" s="994">
        <v>37</v>
      </c>
      <c r="N40" s="1003" t="str">
        <f ca="1">IF(IBRF!H29="","",IBRF!H29)</f>
        <v/>
      </c>
      <c r="O40" s="554"/>
      <c r="P40" s="555"/>
      <c r="Q40" s="555"/>
      <c r="R40" s="555"/>
      <c r="S40" s="555"/>
      <c r="T40" s="555"/>
      <c r="U40" s="556"/>
      <c r="V40" s="557"/>
      <c r="W40" s="1018" t="str">
        <f>IF(COUNTA(O40:U40)=0,"",COUNTA(O40:U40))</f>
        <v/>
      </c>
      <c r="X40" s="51" t="s">
        <v>513</v>
      </c>
      <c r="Y40" s="1011" t="str">
        <f ca="1">IF(IBRF!B29="","",IBRF!B29)</f>
        <v/>
      </c>
      <c r="Z40" s="554"/>
      <c r="AA40" s="555"/>
      <c r="AB40" s="555"/>
      <c r="AC40" s="555"/>
      <c r="AD40" s="555"/>
      <c r="AE40" s="555"/>
      <c r="AF40" s="556"/>
      <c r="AG40" s="557"/>
      <c r="AH40" s="1018" t="str">
        <f>IF(COUNTA(Z40:AF40)=0,"",COUNTA(Z40:AF40))</f>
        <v/>
      </c>
      <c r="AI40" s="992">
        <v>37</v>
      </c>
      <c r="AJ40" s="993"/>
      <c r="AK40" s="994"/>
      <c r="AL40" s="1011" t="str">
        <f ca="1">IF(IBRF!H29="","",IBRF!H29)</f>
        <v/>
      </c>
      <c r="AM40" s="554"/>
      <c r="AN40" s="555"/>
      <c r="AO40" s="555"/>
      <c r="AP40" s="555"/>
      <c r="AQ40" s="555"/>
      <c r="AR40" s="555"/>
      <c r="AS40" s="556"/>
      <c r="AT40" s="557"/>
      <c r="AU40" s="1018" t="str">
        <f>IF(COUNTA(AM40:AS40)=0,"",COUNTA(AM40:AS40))</f>
        <v/>
      </c>
      <c r="AV40" s="51" t="s">
        <v>513</v>
      </c>
    </row>
    <row r="41" spans="1:48" ht="16.5" customHeight="1" thickBot="1">
      <c r="A41" s="1004"/>
      <c r="B41" s="558"/>
      <c r="C41" s="559"/>
      <c r="D41" s="559"/>
      <c r="E41" s="559"/>
      <c r="F41" s="559"/>
      <c r="G41" s="559"/>
      <c r="H41" s="560"/>
      <c r="I41" s="561"/>
      <c r="J41" s="1019"/>
      <c r="K41" s="989">
        <v>38</v>
      </c>
      <c r="L41" s="990"/>
      <c r="M41" s="991">
        <v>38</v>
      </c>
      <c r="N41" s="1004"/>
      <c r="O41" s="558"/>
      <c r="P41" s="559"/>
      <c r="Q41" s="559"/>
      <c r="R41" s="559"/>
      <c r="S41" s="559"/>
      <c r="T41" s="559"/>
      <c r="U41" s="560"/>
      <c r="V41" s="561"/>
      <c r="W41" s="1019"/>
      <c r="X41" s="42" t="s">
        <v>514</v>
      </c>
      <c r="Y41" s="1011"/>
      <c r="Z41" s="558"/>
      <c r="AA41" s="559"/>
      <c r="AB41" s="559"/>
      <c r="AC41" s="559"/>
      <c r="AD41" s="559"/>
      <c r="AE41" s="559"/>
      <c r="AF41" s="560"/>
      <c r="AG41" s="561"/>
      <c r="AH41" s="1019"/>
      <c r="AI41" s="989">
        <v>38</v>
      </c>
      <c r="AJ41" s="990"/>
      <c r="AK41" s="991"/>
      <c r="AL41" s="1011"/>
      <c r="AM41" s="558"/>
      <c r="AN41" s="559"/>
      <c r="AO41" s="559"/>
      <c r="AP41" s="559"/>
      <c r="AQ41" s="559"/>
      <c r="AR41" s="559"/>
      <c r="AS41" s="560"/>
      <c r="AT41" s="561"/>
      <c r="AU41" s="1019"/>
      <c r="AV41" s="42" t="s">
        <v>514</v>
      </c>
    </row>
    <row r="42" spans="1:48" ht="16.5" customHeight="1">
      <c r="A42" s="1015" t="str">
        <f ca="1">IF(IBRF!B30="","",IBRF!B30)</f>
        <v/>
      </c>
      <c r="B42" s="562"/>
      <c r="C42" s="563"/>
      <c r="D42" s="563"/>
      <c r="E42" s="563"/>
      <c r="F42" s="563"/>
      <c r="G42" s="564"/>
      <c r="H42" s="565"/>
      <c r="I42" s="557"/>
      <c r="J42" s="1020" t="str">
        <f>IF(COUNTA(B42:H42)=0,"",COUNTA(B42:H42))</f>
        <v/>
      </c>
      <c r="K42" s="992"/>
      <c r="L42" s="993"/>
      <c r="M42" s="994"/>
      <c r="N42" s="1015" t="str">
        <f ca="1">IF(IBRF!H30="","",IBRF!H30)</f>
        <v/>
      </c>
      <c r="O42" s="562"/>
      <c r="P42" s="563"/>
      <c r="Q42" s="563"/>
      <c r="R42" s="563"/>
      <c r="S42" s="563"/>
      <c r="T42" s="564"/>
      <c r="U42" s="565"/>
      <c r="V42" s="557"/>
      <c r="W42" s="1020" t="str">
        <f>IF(COUNTA(O42:U42)=0,"",COUNTA(O42:U42))</f>
        <v/>
      </c>
      <c r="X42" s="49" t="s">
        <v>248</v>
      </c>
      <c r="Y42" s="1025" t="str">
        <f ca="1">IF(IBRF!B30="","",IBRF!B30)</f>
        <v/>
      </c>
      <c r="Z42" s="562"/>
      <c r="AA42" s="563"/>
      <c r="AB42" s="563"/>
      <c r="AC42" s="563"/>
      <c r="AD42" s="563"/>
      <c r="AE42" s="564"/>
      <c r="AF42" s="565"/>
      <c r="AG42" s="557"/>
      <c r="AH42" s="1020" t="str">
        <f>IF(COUNTA(Z42:AF42)=0,"",COUNTA(Z42:AF42))</f>
        <v/>
      </c>
      <c r="AI42" s="78"/>
      <c r="AJ42" s="79"/>
      <c r="AK42" s="80"/>
      <c r="AL42" s="1025" t="str">
        <f ca="1">IF(IBRF!H30="","",IBRF!H30)</f>
        <v/>
      </c>
      <c r="AM42" s="562"/>
      <c r="AN42" s="563"/>
      <c r="AO42" s="563"/>
      <c r="AP42" s="563"/>
      <c r="AQ42" s="563"/>
      <c r="AR42" s="564"/>
      <c r="AS42" s="565"/>
      <c r="AT42" s="557"/>
      <c r="AU42" s="1020" t="str">
        <f>IF(COUNTA(AM42:AS42)=0,"",COUNTA(AM42:AS42))</f>
        <v/>
      </c>
      <c r="AV42" s="49" t="s">
        <v>248</v>
      </c>
    </row>
    <row r="43" spans="1:48" ht="16.5" customHeight="1" thickBot="1">
      <c r="A43" s="1032"/>
      <c r="B43" s="570"/>
      <c r="C43" s="571"/>
      <c r="D43" s="571"/>
      <c r="E43" s="571"/>
      <c r="F43" s="571"/>
      <c r="G43" s="572"/>
      <c r="H43" s="573"/>
      <c r="I43" s="574"/>
      <c r="J43" s="1021"/>
      <c r="K43" s="1022"/>
      <c r="L43" s="1023"/>
      <c r="M43" s="1024"/>
      <c r="N43" s="1032"/>
      <c r="O43" s="570"/>
      <c r="P43" s="571"/>
      <c r="Q43" s="571"/>
      <c r="R43" s="571"/>
      <c r="S43" s="571"/>
      <c r="T43" s="572"/>
      <c r="U43" s="573"/>
      <c r="V43" s="574"/>
      <c r="W43" s="1021"/>
      <c r="X43" s="52" t="s">
        <v>249</v>
      </c>
      <c r="Y43" s="1026"/>
      <c r="Z43" s="566"/>
      <c r="AA43" s="567"/>
      <c r="AB43" s="567"/>
      <c r="AC43" s="567"/>
      <c r="AD43" s="567"/>
      <c r="AE43" s="568"/>
      <c r="AF43" s="569"/>
      <c r="AG43" s="561"/>
      <c r="AH43" s="1021"/>
      <c r="AI43" s="78"/>
      <c r="AJ43" s="79"/>
      <c r="AK43" s="80"/>
      <c r="AL43" s="1026"/>
      <c r="AM43" s="566"/>
      <c r="AN43" s="567"/>
      <c r="AO43" s="567"/>
      <c r="AP43" s="567"/>
      <c r="AQ43" s="567"/>
      <c r="AR43" s="568"/>
      <c r="AS43" s="569"/>
      <c r="AT43" s="561"/>
      <c r="AU43" s="1021"/>
      <c r="AV43" s="52" t="s">
        <v>249</v>
      </c>
    </row>
    <row r="44" spans="1:48" s="53" customFormat="1" ht="30" customHeight="1" thickBot="1">
      <c r="A44" s="998" t="s">
        <v>295</v>
      </c>
      <c r="B44" s="999"/>
      <c r="C44" s="999"/>
      <c r="D44" s="999"/>
      <c r="E44" s="999"/>
      <c r="F44" s="999"/>
      <c r="G44" s="999"/>
      <c r="H44" s="999"/>
      <c r="I44" s="999"/>
      <c r="J44" s="61">
        <f>IF(SUM(J4:J43)=0,"",SUM(J4:J43))</f>
        <v>6</v>
      </c>
      <c r="K44" s="1027"/>
      <c r="L44" s="1028"/>
      <c r="M44" s="1029"/>
      <c r="N44" s="998" t="s">
        <v>295</v>
      </c>
      <c r="O44" s="999"/>
      <c r="P44" s="999"/>
      <c r="Q44" s="999"/>
      <c r="R44" s="999"/>
      <c r="S44" s="999"/>
      <c r="T44" s="999"/>
      <c r="U44" s="999"/>
      <c r="V44" s="999"/>
      <c r="W44" s="61">
        <f>IF(SUM(W4:W43)=0,"",SUM(W4:W43))</f>
        <v>11</v>
      </c>
      <c r="X44" s="313" t="s">
        <v>185</v>
      </c>
      <c r="Y44" s="998" t="s">
        <v>295</v>
      </c>
      <c r="Z44" s="999"/>
      <c r="AA44" s="999"/>
      <c r="AB44" s="999"/>
      <c r="AC44" s="999"/>
      <c r="AD44" s="999"/>
      <c r="AE44" s="999"/>
      <c r="AF44" s="999"/>
      <c r="AG44" s="999"/>
      <c r="AH44" s="61">
        <f>IF(SUM(AH4:AH43)=0,"",SUM(AH4:AH43))</f>
        <v>7</v>
      </c>
      <c r="AI44" s="75"/>
      <c r="AJ44" s="76"/>
      <c r="AK44" s="77"/>
      <c r="AL44" s="998" t="s">
        <v>295</v>
      </c>
      <c r="AM44" s="999"/>
      <c r="AN44" s="999"/>
      <c r="AO44" s="999"/>
      <c r="AP44" s="999"/>
      <c r="AQ44" s="999"/>
      <c r="AR44" s="999"/>
      <c r="AS44" s="999"/>
      <c r="AT44" s="999"/>
      <c r="AU44" s="61">
        <f>IF(SUM(AU4:AU43)=0,"",SUM(AU4:AU43))</f>
        <v>10</v>
      </c>
      <c r="AV44" s="313" t="s">
        <v>185</v>
      </c>
    </row>
    <row r="45" spans="1:48" s="56" customFormat="1">
      <c r="A45" s="1000" t="s">
        <v>437</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2"/>
      <c r="Y45" s="1000" t="s">
        <v>437</v>
      </c>
      <c r="Z45" s="1001"/>
      <c r="AA45" s="1001"/>
      <c r="AB45" s="1001"/>
      <c r="AC45" s="1001"/>
      <c r="AD45" s="1001"/>
      <c r="AE45" s="1001"/>
      <c r="AF45" s="1001"/>
      <c r="AG45" s="1001"/>
      <c r="AH45" s="1001"/>
      <c r="AI45" s="1001"/>
      <c r="AJ45" s="1001"/>
      <c r="AK45" s="1001"/>
      <c r="AL45" s="1001"/>
      <c r="AM45" s="1001"/>
      <c r="AN45" s="1001"/>
      <c r="AO45" s="1001"/>
      <c r="AP45" s="1001"/>
      <c r="AQ45" s="1001"/>
      <c r="AR45" s="1001"/>
      <c r="AS45" s="1001"/>
      <c r="AT45" s="1001"/>
      <c r="AU45" s="1001"/>
      <c r="AV45" s="1002"/>
    </row>
    <row r="46" spans="1:48">
      <c r="A46" s="1000" t="s">
        <v>496</v>
      </c>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2"/>
      <c r="Y46" s="1000" t="s">
        <v>496</v>
      </c>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2"/>
    </row>
    <row r="47" spans="1:48">
      <c r="A47" s="1000" t="s">
        <v>436</v>
      </c>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2"/>
      <c r="Y47" s="1000" t="s">
        <v>436</v>
      </c>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2"/>
    </row>
    <row r="48" spans="1:48" ht="14" thickBot="1">
      <c r="A48" s="995" t="s">
        <v>345</v>
      </c>
      <c r="B48" s="996"/>
      <c r="C48" s="996"/>
      <c r="D48" s="996"/>
      <c r="E48" s="996"/>
      <c r="F48" s="996"/>
      <c r="G48" s="996"/>
      <c r="H48" s="996"/>
      <c r="I48" s="996"/>
      <c r="J48" s="996"/>
      <c r="K48" s="996"/>
      <c r="L48" s="996"/>
      <c r="M48" s="996"/>
      <c r="N48" s="996"/>
      <c r="O48" s="996"/>
      <c r="P48" s="996"/>
      <c r="Q48" s="996"/>
      <c r="R48" s="996"/>
      <c r="S48" s="996"/>
      <c r="T48" s="996"/>
      <c r="U48" s="996"/>
      <c r="V48" s="996"/>
      <c r="W48" s="996"/>
      <c r="X48" s="997"/>
      <c r="Y48" s="995" t="s">
        <v>345</v>
      </c>
      <c r="Z48" s="996"/>
      <c r="AA48" s="996"/>
      <c r="AB48" s="996"/>
      <c r="AC48" s="996"/>
      <c r="AD48" s="996"/>
      <c r="AE48" s="996"/>
      <c r="AF48" s="996"/>
      <c r="AG48" s="996"/>
      <c r="AH48" s="996"/>
      <c r="AI48" s="996"/>
      <c r="AJ48" s="996"/>
      <c r="AK48" s="996"/>
      <c r="AL48" s="996"/>
      <c r="AM48" s="996"/>
      <c r="AN48" s="996"/>
      <c r="AO48" s="996"/>
      <c r="AP48" s="996"/>
      <c r="AQ48" s="996"/>
      <c r="AR48" s="996"/>
      <c r="AS48" s="996"/>
      <c r="AT48" s="996"/>
      <c r="AU48" s="996"/>
      <c r="AV48" s="997"/>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75" workbookViewId="0">
      <selection activeCell="Y42" sqref="Y42:Y45"/>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70" t="str">
        <f ca="1">Score!$A$1</f>
        <v>Detroit Pistoffs</v>
      </c>
      <c r="B1" s="1070"/>
      <c r="C1" s="1070"/>
      <c r="D1" s="1070"/>
      <c r="E1" s="1070"/>
      <c r="F1" s="1070"/>
      <c r="G1" s="1070"/>
      <c r="H1" s="1070"/>
      <c r="I1" s="1071" t="s">
        <v>123</v>
      </c>
      <c r="J1" s="1071"/>
      <c r="K1" s="1071"/>
      <c r="L1" s="1071"/>
      <c r="M1" s="1071"/>
      <c r="N1" s="1071"/>
      <c r="O1" s="1068">
        <f ca="1">IF(ISBLANK(IBRF!$B$5), "", IBRF!$B$5)</f>
        <v>41377</v>
      </c>
      <c r="P1" s="1068"/>
      <c r="Q1" s="1068"/>
      <c r="R1" s="72">
        <v>1</v>
      </c>
      <c r="U1" s="1081" t="str">
        <f ca="1">IF(ISBLANK(Score!$I$1), "", Score!$I$1)</f>
        <v>Blue</v>
      </c>
      <c r="V1" s="1081"/>
      <c r="W1" s="1079" t="str">
        <f ca="1">Score!$T$1</f>
        <v>Pistolwhippers</v>
      </c>
      <c r="X1" s="1079"/>
      <c r="Y1" s="1079"/>
      <c r="Z1" s="1079"/>
      <c r="AA1" s="1079"/>
      <c r="AB1" s="1079"/>
      <c r="AC1" s="1079"/>
      <c r="AD1" s="1079"/>
      <c r="AE1" s="1071" t="s">
        <v>133</v>
      </c>
      <c r="AF1" s="1071"/>
      <c r="AG1" s="1071"/>
      <c r="AH1" s="1071"/>
      <c r="AI1" s="1071"/>
      <c r="AJ1" s="1071"/>
      <c r="AK1" s="1068">
        <f ca="1">IF(ISBLANK(IBRF!$B$5), "", IBRF!$B$5)</f>
        <v>41377</v>
      </c>
      <c r="AL1" s="1068"/>
      <c r="AM1" s="1068"/>
      <c r="AN1" s="72">
        <v>1</v>
      </c>
      <c r="AQ1" s="1081" t="str">
        <f ca="1">IF(ISBLANK(Score!$AB$1), "", Score!$AB$1)</f>
        <v>Red</v>
      </c>
      <c r="AR1" s="1081"/>
    </row>
    <row r="2" spans="1:44" s="73" customFormat="1" ht="15" customHeight="1" thickBot="1">
      <c r="A2" s="1070"/>
      <c r="B2" s="1070"/>
      <c r="C2" s="1070"/>
      <c r="D2" s="1070"/>
      <c r="E2" s="1070"/>
      <c r="F2" s="1070"/>
      <c r="G2" s="1070"/>
      <c r="H2" s="1070"/>
      <c r="I2" s="1072" t="s">
        <v>500</v>
      </c>
      <c r="J2" s="1072"/>
      <c r="K2" s="1072"/>
      <c r="L2" s="1072"/>
      <c r="M2" s="1072"/>
      <c r="N2" s="1072"/>
      <c r="O2" s="1060" t="s">
        <v>577</v>
      </c>
      <c r="P2" s="1060"/>
      <c r="Q2" s="1060"/>
      <c r="R2" s="74" t="str">
        <f ca="1">IF(ISBLANK(Score!$R$2), "", Score!$R$2)</f>
        <v>BOUT 199</v>
      </c>
      <c r="U2" s="1080" t="s">
        <v>472</v>
      </c>
      <c r="V2" s="1080"/>
      <c r="W2" s="1079"/>
      <c r="X2" s="1079"/>
      <c r="Y2" s="1079"/>
      <c r="Z2" s="1079"/>
      <c r="AA2" s="1079"/>
      <c r="AB2" s="1079"/>
      <c r="AC2" s="1079"/>
      <c r="AD2" s="1079"/>
      <c r="AE2" s="1072" t="s">
        <v>500</v>
      </c>
      <c r="AF2" s="1072"/>
      <c r="AG2" s="1072"/>
      <c r="AH2" s="1072"/>
      <c r="AI2" s="1072"/>
      <c r="AJ2" s="1072"/>
      <c r="AK2" s="1060" t="s">
        <v>577</v>
      </c>
      <c r="AL2" s="1060"/>
      <c r="AM2" s="1060"/>
      <c r="AN2" s="74" t="str">
        <f ca="1">IF(ISBLANK(Score!$R$2), "", Score!$R$2)</f>
        <v>BOUT 199</v>
      </c>
      <c r="AQ2" s="1080" t="s">
        <v>472</v>
      </c>
      <c r="AR2" s="1080"/>
    </row>
    <row r="3" spans="1:44" ht="15" customHeight="1" thickBot="1">
      <c r="A3" s="64" t="s">
        <v>393</v>
      </c>
      <c r="B3" s="65" t="s">
        <v>473</v>
      </c>
      <c r="C3" s="66" t="s">
        <v>190</v>
      </c>
      <c r="D3" s="1050" t="s">
        <v>188</v>
      </c>
      <c r="E3" s="1050"/>
      <c r="F3" s="66" t="s">
        <v>4</v>
      </c>
      <c r="G3" s="1050" t="s">
        <v>188</v>
      </c>
      <c r="H3" s="1050"/>
      <c r="I3" s="66" t="s">
        <v>189</v>
      </c>
      <c r="J3" s="1050" t="s">
        <v>188</v>
      </c>
      <c r="K3" s="1050"/>
      <c r="L3" s="66" t="s">
        <v>189</v>
      </c>
      <c r="M3" s="1050" t="s">
        <v>188</v>
      </c>
      <c r="N3" s="1050"/>
      <c r="O3" s="66" t="s">
        <v>189</v>
      </c>
      <c r="P3" s="1050" t="s">
        <v>188</v>
      </c>
      <c r="Q3" s="1050"/>
      <c r="R3" s="67" t="s">
        <v>191</v>
      </c>
      <c r="S3" s="68"/>
      <c r="T3" s="69"/>
      <c r="U3" s="1056" t="s">
        <v>501</v>
      </c>
      <c r="V3" s="1056"/>
      <c r="W3" s="609" t="s">
        <v>393</v>
      </c>
      <c r="X3" s="610" t="s">
        <v>473</v>
      </c>
      <c r="Y3" s="611" t="s">
        <v>190</v>
      </c>
      <c r="Z3" s="1049" t="s">
        <v>188</v>
      </c>
      <c r="AA3" s="1049"/>
      <c r="AB3" s="611" t="s">
        <v>4</v>
      </c>
      <c r="AC3" s="1049" t="s">
        <v>188</v>
      </c>
      <c r="AD3" s="1049"/>
      <c r="AE3" s="611" t="s">
        <v>189</v>
      </c>
      <c r="AF3" s="1049" t="s">
        <v>188</v>
      </c>
      <c r="AG3" s="1049"/>
      <c r="AH3" s="611" t="s">
        <v>189</v>
      </c>
      <c r="AI3" s="1049" t="s">
        <v>188</v>
      </c>
      <c r="AJ3" s="1049"/>
      <c r="AK3" s="611" t="s">
        <v>189</v>
      </c>
      <c r="AL3" s="1049" t="s">
        <v>188</v>
      </c>
      <c r="AM3" s="1049"/>
      <c r="AN3" s="612" t="s">
        <v>191</v>
      </c>
      <c r="AO3" s="613"/>
      <c r="AP3" s="614"/>
      <c r="AQ3" s="1042" t="s">
        <v>501</v>
      </c>
      <c r="AR3" s="1042"/>
    </row>
    <row r="4" spans="1:44" ht="14.25" customHeight="1" thickBot="1">
      <c r="A4" s="1036">
        <f ca="1">IF(Score!A4="", "",Score!A4 )</f>
        <v>1</v>
      </c>
      <c r="B4" s="1040"/>
      <c r="C4" s="1039" t="str">
        <f ca="1">IF(Score!B4="", "",Score!B4)</f>
        <v>80</v>
      </c>
      <c r="D4" s="675"/>
      <c r="E4" s="675"/>
      <c r="F4" s="1037" t="s">
        <v>219</v>
      </c>
      <c r="G4" s="675"/>
      <c r="H4" s="675"/>
      <c r="I4" s="1038" t="s">
        <v>43</v>
      </c>
      <c r="J4" s="675"/>
      <c r="K4" s="675"/>
      <c r="L4" s="1038" t="s">
        <v>45</v>
      </c>
      <c r="M4" s="675"/>
      <c r="N4" s="675"/>
      <c r="O4" s="1038" t="s">
        <v>57</v>
      </c>
      <c r="P4" s="675"/>
      <c r="Q4" s="675"/>
      <c r="R4" s="615" t="s">
        <v>705</v>
      </c>
      <c r="S4" s="1054">
        <f ca="1">IF(A4="", "", SUMIF(SK!B$3:B$78, ROW(), SK!D$3:D$78))</f>
        <v>0</v>
      </c>
      <c r="T4" s="70"/>
      <c r="U4" s="1053" t="str">
        <f ca="1">IF(IBRF!B11="","",IBRF!B11)</f>
        <v>138</v>
      </c>
      <c r="V4" s="1055" t="str">
        <f ca="1">IF(IBRF!C11="","",IBRF!C11)</f>
        <v>Mag Pie</v>
      </c>
      <c r="W4" s="1036">
        <f ca="1">IF(Score!T4="", "",Score!T4 )</f>
        <v>1</v>
      </c>
      <c r="X4" s="1040"/>
      <c r="Y4" s="1039" t="str">
        <f ca="1">IF(Score!U4="", "",Score!U4)</f>
        <v>620</v>
      </c>
      <c r="Z4" s="675"/>
      <c r="AA4" s="675"/>
      <c r="AB4" s="1037" t="s">
        <v>78</v>
      </c>
      <c r="AC4" s="675"/>
      <c r="AD4" s="675"/>
      <c r="AE4" s="1038" t="s">
        <v>362</v>
      </c>
      <c r="AF4" s="675" t="s">
        <v>360</v>
      </c>
      <c r="AG4" s="675"/>
      <c r="AH4" s="1038" t="s">
        <v>72</v>
      </c>
      <c r="AI4" s="675"/>
      <c r="AJ4" s="675"/>
      <c r="AK4" s="1038" t="s">
        <v>80</v>
      </c>
      <c r="AL4" s="675"/>
      <c r="AM4" s="675"/>
      <c r="AN4" s="615" t="s">
        <v>705</v>
      </c>
      <c r="AO4" s="1054">
        <f ca="1">IF(W4="", "", SUMIF(SK!R$3:R$78, ROW(), SK!T$3:T$78))</f>
        <v>0</v>
      </c>
      <c r="AP4" s="70"/>
      <c r="AQ4" s="1053" t="str">
        <f ca="1">IF(IBRF!H11="","",IBRF!H11)</f>
        <v>182</v>
      </c>
      <c r="AR4" s="1055" t="str">
        <f ca="1">IF(IBRF!I11="","",IBRF!I11)</f>
        <v>Travis Blocker</v>
      </c>
    </row>
    <row r="5" spans="1:44" ht="14.25" customHeight="1" thickBot="1">
      <c r="A5" s="1036"/>
      <c r="B5" s="1041"/>
      <c r="C5" s="1039"/>
      <c r="D5" s="676"/>
      <c r="E5" s="676"/>
      <c r="F5" s="1037"/>
      <c r="G5" s="676"/>
      <c r="H5" s="676"/>
      <c r="I5" s="1038"/>
      <c r="J5" s="676"/>
      <c r="K5" s="676"/>
      <c r="L5" s="1038"/>
      <c r="M5" s="676"/>
      <c r="N5" s="676"/>
      <c r="O5" s="1038"/>
      <c r="P5" s="676"/>
      <c r="Q5" s="676"/>
      <c r="R5" s="616" t="s">
        <v>706</v>
      </c>
      <c r="S5" s="1054"/>
      <c r="T5" s="70"/>
      <c r="U5" s="1053"/>
      <c r="V5" s="1055"/>
      <c r="W5" s="1036"/>
      <c r="X5" s="1041"/>
      <c r="Y5" s="1039"/>
      <c r="Z5" s="676"/>
      <c r="AA5" s="676"/>
      <c r="AB5" s="1037"/>
      <c r="AC5" s="676"/>
      <c r="AD5" s="676"/>
      <c r="AE5" s="1038"/>
      <c r="AF5" s="676"/>
      <c r="AG5" s="676"/>
      <c r="AH5" s="1038"/>
      <c r="AI5" s="676"/>
      <c r="AJ5" s="676"/>
      <c r="AK5" s="1038"/>
      <c r="AL5" s="676"/>
      <c r="AM5" s="676"/>
      <c r="AN5" s="616" t="s">
        <v>706</v>
      </c>
      <c r="AO5" s="1054"/>
      <c r="AP5" s="70"/>
      <c r="AQ5" s="1053"/>
      <c r="AR5" s="1055"/>
    </row>
    <row r="6" spans="1:44" ht="14.25" customHeight="1" thickBot="1">
      <c r="A6" s="1043">
        <f ca="1">IF(Score!A6="", "",Score!A6 )</f>
        <v>2</v>
      </c>
      <c r="B6" s="1051"/>
      <c r="C6" s="1046" t="str">
        <f ca="1">IF(Score!B6="", "",Score!B6)</f>
        <v>428</v>
      </c>
      <c r="D6" s="675"/>
      <c r="E6" s="675"/>
      <c r="F6" s="1044" t="s">
        <v>51</v>
      </c>
      <c r="G6" s="675"/>
      <c r="H6" s="675"/>
      <c r="I6" s="1045" t="s">
        <v>47</v>
      </c>
      <c r="J6" s="675"/>
      <c r="K6" s="675"/>
      <c r="L6" s="1045" t="s">
        <v>53</v>
      </c>
      <c r="M6" s="675"/>
      <c r="N6" s="675"/>
      <c r="O6" s="1045" t="s">
        <v>55</v>
      </c>
      <c r="P6" s="675"/>
      <c r="Q6" s="675"/>
      <c r="R6" s="615" t="s">
        <v>705</v>
      </c>
      <c r="S6" s="1047">
        <f ca="1">IF(A6="", "", SUMIF(SK!B$3:B$78, ROW(), SK!D$3:D$78))</f>
        <v>4</v>
      </c>
      <c r="T6" s="70"/>
      <c r="U6" s="1053" t="str">
        <f ca="1">IF(IBRF!B12="","",IBRF!B12)</f>
        <v>181</v>
      </c>
      <c r="V6" s="1055" t="str">
        <f ca="1">IF(IBRF!C12="","",IBRF!C12)</f>
        <v>Vega Vendetta</v>
      </c>
      <c r="W6" s="1043">
        <f ca="1">IF(Score!T6="", "",Score!T6 )</f>
        <v>2</v>
      </c>
      <c r="X6" s="1051"/>
      <c r="Y6" s="1046" t="str">
        <f ca="1">IF(Score!U6="", "",Score!U6)</f>
        <v>50</v>
      </c>
      <c r="Z6" s="675"/>
      <c r="AA6" s="675"/>
      <c r="AB6" s="1044" t="s">
        <v>113</v>
      </c>
      <c r="AC6" s="675"/>
      <c r="AD6" s="675"/>
      <c r="AE6" s="1045" t="s">
        <v>362</v>
      </c>
      <c r="AF6" s="675" t="s">
        <v>124</v>
      </c>
      <c r="AG6" s="675"/>
      <c r="AH6" s="1045" t="s">
        <v>237</v>
      </c>
      <c r="AI6" s="675"/>
      <c r="AJ6" s="675"/>
      <c r="AK6" s="1045" t="s">
        <v>72</v>
      </c>
      <c r="AL6" s="675"/>
      <c r="AM6" s="675"/>
      <c r="AN6" s="615" t="s">
        <v>705</v>
      </c>
      <c r="AO6" s="1047">
        <f ca="1">IF(W6="", "", SUMIF(SK!R$3:R$78, ROW(), SK!T$3:T$78))</f>
        <v>0</v>
      </c>
      <c r="AP6" s="70"/>
      <c r="AQ6" s="1053" t="str">
        <f ca="1">IF(IBRF!H12="","",IBRF!H12)</f>
        <v>2¢</v>
      </c>
      <c r="AR6" s="1055" t="str">
        <f ca="1">IF(IBRF!I12="","",IBRF!I12)</f>
        <v>Vera Toss</v>
      </c>
    </row>
    <row r="7" spans="1:44" ht="14.25" customHeight="1" thickBot="1">
      <c r="A7" s="1043"/>
      <c r="B7" s="1052"/>
      <c r="C7" s="1046"/>
      <c r="D7" s="677"/>
      <c r="E7" s="677"/>
      <c r="F7" s="1044"/>
      <c r="G7" s="677"/>
      <c r="H7" s="677"/>
      <c r="I7" s="1045"/>
      <c r="J7" s="677"/>
      <c r="K7" s="677"/>
      <c r="L7" s="1045"/>
      <c r="M7" s="677"/>
      <c r="N7" s="677"/>
      <c r="O7" s="1045"/>
      <c r="P7" s="677"/>
      <c r="Q7" s="677"/>
      <c r="R7" s="616" t="s">
        <v>706</v>
      </c>
      <c r="S7" s="1048"/>
      <c r="T7" s="70"/>
      <c r="U7" s="1053"/>
      <c r="V7" s="1055"/>
      <c r="W7" s="1043"/>
      <c r="X7" s="1052"/>
      <c r="Y7" s="1046"/>
      <c r="Z7" s="677"/>
      <c r="AA7" s="677"/>
      <c r="AB7" s="1044"/>
      <c r="AC7" s="677"/>
      <c r="AD7" s="677"/>
      <c r="AE7" s="1045"/>
      <c r="AF7" s="677"/>
      <c r="AG7" s="677"/>
      <c r="AH7" s="1045"/>
      <c r="AI7" s="677"/>
      <c r="AJ7" s="677"/>
      <c r="AK7" s="1045"/>
      <c r="AL7" s="677"/>
      <c r="AM7" s="677"/>
      <c r="AN7" s="616" t="s">
        <v>706</v>
      </c>
      <c r="AO7" s="1048"/>
      <c r="AP7" s="70"/>
      <c r="AQ7" s="1053"/>
      <c r="AR7" s="1055"/>
    </row>
    <row r="8" spans="1:44" ht="14.25" customHeight="1" thickBot="1">
      <c r="A8" s="1036">
        <f ca="1">IF(Score!A8="", "",Score!A8 )</f>
        <v>3</v>
      </c>
      <c r="B8" s="1040"/>
      <c r="C8" s="1039" t="str">
        <f ca="1">IF(Score!B8="", "",Score!B8)</f>
        <v>728</v>
      </c>
      <c r="D8" s="678"/>
      <c r="E8" s="678"/>
      <c r="F8" s="1037" t="s">
        <v>219</v>
      </c>
      <c r="G8" s="678"/>
      <c r="H8" s="678"/>
      <c r="I8" s="1038" t="s">
        <v>55</v>
      </c>
      <c r="J8" s="678"/>
      <c r="K8" s="678"/>
      <c r="L8" s="1038" t="s">
        <v>49</v>
      </c>
      <c r="M8" s="678" t="s">
        <v>360</v>
      </c>
      <c r="N8" s="678"/>
      <c r="O8" s="1038" t="s">
        <v>57</v>
      </c>
      <c r="P8" s="678"/>
      <c r="Q8" s="678"/>
      <c r="R8" s="615" t="s">
        <v>705</v>
      </c>
      <c r="S8" s="1054">
        <f ca="1">IF(A8="", "", SUMIF(SK!B$3:B$78, ROW(), SK!D$3:D$78))</f>
        <v>4</v>
      </c>
      <c r="T8" s="70"/>
      <c r="U8" s="1053" t="str">
        <f ca="1">IF(IBRF!B13="","",IBRF!B13)</f>
        <v>1821</v>
      </c>
      <c r="V8" s="1055" t="str">
        <f ca="1">IF(IBRF!C13="","",IBRF!C13)</f>
        <v>Mexi-Go</v>
      </c>
      <c r="W8" s="1036">
        <f ca="1">IF(Score!T8="", "",Score!T8 )</f>
        <v>3</v>
      </c>
      <c r="X8" s="1040"/>
      <c r="Y8" s="1039" t="str">
        <f ca="1">IF(Score!U8="", "",Score!U8)</f>
        <v>9.81</v>
      </c>
      <c r="Z8" s="678"/>
      <c r="AA8" s="678"/>
      <c r="AB8" s="1037" t="s">
        <v>78</v>
      </c>
      <c r="AC8" s="678"/>
      <c r="AD8" s="678"/>
      <c r="AE8" s="1038" t="s">
        <v>362</v>
      </c>
      <c r="AF8" s="678" t="s">
        <v>124</v>
      </c>
      <c r="AG8" s="678" t="s">
        <v>128</v>
      </c>
      <c r="AH8" s="1038" t="s">
        <v>366</v>
      </c>
      <c r="AI8" s="678"/>
      <c r="AJ8" s="678"/>
      <c r="AK8" s="1038" t="s">
        <v>358</v>
      </c>
      <c r="AL8" s="678"/>
      <c r="AM8" s="678"/>
      <c r="AN8" s="615" t="s">
        <v>705</v>
      </c>
      <c r="AO8" s="1054">
        <f ca="1">IF(W8="", "", SUMIF(SK!R$3:R$78, ROW(), SK!T$3:T$78))</f>
        <v>0</v>
      </c>
      <c r="AP8" s="70"/>
      <c r="AQ8" s="1053" t="str">
        <f ca="1">IF(IBRF!H13="","",IBRF!H13)</f>
        <v>24/7</v>
      </c>
      <c r="AR8" s="1055" t="str">
        <f ca="1">IF(IBRF!I13="","",IBRF!I13)</f>
        <v>boo d. livers</v>
      </c>
    </row>
    <row r="9" spans="1:44" ht="14.25" customHeight="1" thickBot="1">
      <c r="A9" s="1036"/>
      <c r="B9" s="1041"/>
      <c r="C9" s="1039"/>
      <c r="D9" s="676"/>
      <c r="E9" s="676"/>
      <c r="F9" s="1037"/>
      <c r="G9" s="676"/>
      <c r="H9" s="676"/>
      <c r="I9" s="1038"/>
      <c r="J9" s="676"/>
      <c r="K9" s="676"/>
      <c r="L9" s="1038"/>
      <c r="M9" s="676"/>
      <c r="N9" s="676"/>
      <c r="O9" s="1038"/>
      <c r="P9" s="676"/>
      <c r="Q9" s="676"/>
      <c r="R9" s="616" t="s">
        <v>706</v>
      </c>
      <c r="S9" s="1054"/>
      <c r="T9" s="70"/>
      <c r="U9" s="1053"/>
      <c r="V9" s="1055"/>
      <c r="W9" s="1036"/>
      <c r="X9" s="1041"/>
      <c r="Y9" s="1039"/>
      <c r="Z9" s="676"/>
      <c r="AA9" s="676"/>
      <c r="AB9" s="1037"/>
      <c r="AC9" s="676"/>
      <c r="AD9" s="676"/>
      <c r="AE9" s="1038"/>
      <c r="AF9" s="676"/>
      <c r="AG9" s="676"/>
      <c r="AH9" s="1038"/>
      <c r="AI9" s="676"/>
      <c r="AJ9" s="676"/>
      <c r="AK9" s="1038"/>
      <c r="AL9" s="676"/>
      <c r="AM9" s="676"/>
      <c r="AN9" s="616" t="s">
        <v>706</v>
      </c>
      <c r="AO9" s="1054"/>
      <c r="AP9" s="70"/>
      <c r="AQ9" s="1053"/>
      <c r="AR9" s="1055"/>
    </row>
    <row r="10" spans="1:44" ht="14.25" customHeight="1" thickBot="1">
      <c r="A10" s="1043">
        <f ca="1">IF(Score!A10="", "",Score!A10 )</f>
        <v>4</v>
      </c>
      <c r="B10" s="1051"/>
      <c r="C10" s="1046" t="str">
        <f ca="1">IF(Score!B10="", "",Score!B10)</f>
        <v>20KN</v>
      </c>
      <c r="D10" s="675"/>
      <c r="E10" s="675"/>
      <c r="F10" s="1044" t="s">
        <v>51</v>
      </c>
      <c r="G10" s="675"/>
      <c r="H10" s="675"/>
      <c r="I10" s="1045" t="s">
        <v>45</v>
      </c>
      <c r="J10" s="675"/>
      <c r="K10" s="675"/>
      <c r="L10" s="1045" t="s">
        <v>49</v>
      </c>
      <c r="M10" s="675" t="s">
        <v>124</v>
      </c>
      <c r="N10" s="675"/>
      <c r="O10" s="1045" t="s">
        <v>223</v>
      </c>
      <c r="P10" s="675"/>
      <c r="Q10" s="675"/>
      <c r="R10" s="615" t="s">
        <v>705</v>
      </c>
      <c r="S10" s="1047">
        <f ca="1">IF(A10="", "", SUMIF(SK!B$3:B$78, ROW(), SK!D$3:D$78))</f>
        <v>0</v>
      </c>
      <c r="T10" s="70"/>
      <c r="U10" s="1053" t="str">
        <f ca="1">IF(IBRF!B14="","",IBRF!B14)</f>
        <v>187</v>
      </c>
      <c r="V10" s="1055" t="str">
        <f ca="1">IF(IBRF!C14="","",IBRF!C14)</f>
        <v>VeroniKILL</v>
      </c>
      <c r="W10" s="1043">
        <f ca="1">IF(Score!T10="", "",Score!T10 )</f>
        <v>4</v>
      </c>
      <c r="X10" s="1051"/>
      <c r="Y10" s="1046" t="str">
        <f ca="1">IF(Score!U10="", "",Score!U10)</f>
        <v>620</v>
      </c>
      <c r="Z10" s="675"/>
      <c r="AA10" s="675"/>
      <c r="AB10" s="1044" t="s">
        <v>72</v>
      </c>
      <c r="AC10" s="675" t="s">
        <v>360</v>
      </c>
      <c r="AD10" s="675"/>
      <c r="AE10" s="1045" t="s">
        <v>364</v>
      </c>
      <c r="AF10" s="675"/>
      <c r="AG10" s="675"/>
      <c r="AH10" s="1045" t="s">
        <v>115</v>
      </c>
      <c r="AI10" s="675"/>
      <c r="AJ10" s="675"/>
      <c r="AK10" s="1045" t="s">
        <v>80</v>
      </c>
      <c r="AL10" s="675"/>
      <c r="AM10" s="675"/>
      <c r="AN10" s="615" t="s">
        <v>705</v>
      </c>
      <c r="AO10" s="1047">
        <f ca="1">IF(W10="", "", SUMIF(SK!R$3:R$78, ROW(), SK!T$3:T$78))</f>
        <v>0</v>
      </c>
      <c r="AP10" s="70"/>
      <c r="AQ10" s="1053" t="str">
        <f ca="1">IF(IBRF!H14="","",IBRF!H14)</f>
        <v>27</v>
      </c>
      <c r="AR10" s="1055" t="str">
        <f ca="1">IF(IBRF!I14="","",IBRF!I14)</f>
        <v>A.O. Lesgo</v>
      </c>
    </row>
    <row r="11" spans="1:44" ht="14.25" customHeight="1" thickBot="1">
      <c r="A11" s="1043"/>
      <c r="B11" s="1052"/>
      <c r="C11" s="1046"/>
      <c r="D11" s="677"/>
      <c r="E11" s="677"/>
      <c r="F11" s="1044"/>
      <c r="G11" s="677"/>
      <c r="H11" s="677"/>
      <c r="I11" s="1045"/>
      <c r="J11" s="677"/>
      <c r="K11" s="677"/>
      <c r="L11" s="1045"/>
      <c r="M11" s="677"/>
      <c r="N11" s="677"/>
      <c r="O11" s="1045"/>
      <c r="P11" s="677"/>
      <c r="Q11" s="677"/>
      <c r="R11" s="616" t="s">
        <v>706</v>
      </c>
      <c r="S11" s="1048"/>
      <c r="T11" s="70"/>
      <c r="U11" s="1053"/>
      <c r="V11" s="1055"/>
      <c r="W11" s="1043"/>
      <c r="X11" s="1052"/>
      <c r="Y11" s="1046"/>
      <c r="Z11" s="677"/>
      <c r="AA11" s="677"/>
      <c r="AB11" s="1044"/>
      <c r="AC11" s="677"/>
      <c r="AD11" s="677"/>
      <c r="AE11" s="1045"/>
      <c r="AF11" s="677"/>
      <c r="AG11" s="677"/>
      <c r="AH11" s="1045"/>
      <c r="AI11" s="677"/>
      <c r="AJ11" s="677"/>
      <c r="AK11" s="1045"/>
      <c r="AL11" s="677"/>
      <c r="AM11" s="677"/>
      <c r="AN11" s="616" t="s">
        <v>706</v>
      </c>
      <c r="AO11" s="1048"/>
      <c r="AP11" s="70"/>
      <c r="AQ11" s="1053"/>
      <c r="AR11" s="1055"/>
    </row>
    <row r="12" spans="1:44" ht="14.25" customHeight="1" thickBot="1">
      <c r="A12" s="1036">
        <f ca="1">IF(Score!A12="", "",Score!A12 )</f>
        <v>5</v>
      </c>
      <c r="B12" s="1040"/>
      <c r="C12" s="1039" t="str">
        <f ca="1">IF(Score!B12="", "",Score!B12)</f>
        <v>33 1/3</v>
      </c>
      <c r="D12" s="678"/>
      <c r="E12" s="678"/>
      <c r="F12" s="1037" t="s">
        <v>219</v>
      </c>
      <c r="G12" s="678" t="s">
        <v>360</v>
      </c>
      <c r="H12" s="678"/>
      <c r="I12" s="1038" t="s">
        <v>43</v>
      </c>
      <c r="J12" s="678"/>
      <c r="K12" s="678"/>
      <c r="L12" s="1038" t="s">
        <v>221</v>
      </c>
      <c r="M12" s="678"/>
      <c r="N12" s="678"/>
      <c r="O12" s="1038" t="s">
        <v>49</v>
      </c>
      <c r="P12" s="678" t="s">
        <v>124</v>
      </c>
      <c r="Q12" s="678" t="s">
        <v>360</v>
      </c>
      <c r="R12" s="615" t="s">
        <v>705</v>
      </c>
      <c r="S12" s="1054">
        <f ca="1">IF(A12="", "", SUMIF(SK!B$3:B$78, ROW(), SK!D$3:D$78))</f>
        <v>4</v>
      </c>
      <c r="T12" s="70"/>
      <c r="U12" s="1053" t="str">
        <f ca="1">IF(IBRF!B15="","",IBRF!B15)</f>
        <v>1879</v>
      </c>
      <c r="V12" s="1055" t="str">
        <f ca="1">IF(IBRF!C15="","",IBRF!C15)</f>
        <v>Belle Isle Hurtya</v>
      </c>
      <c r="W12" s="1036">
        <f ca="1">IF(Score!T12="", "",Score!T12 )</f>
        <v>5</v>
      </c>
      <c r="X12" s="1040"/>
      <c r="Y12" s="1039" t="str">
        <f ca="1">IF(Score!U12="", "",Score!U12)</f>
        <v>50</v>
      </c>
      <c r="Z12" s="678"/>
      <c r="AA12" s="678"/>
      <c r="AB12" s="1037" t="s">
        <v>72</v>
      </c>
      <c r="AC12" s="678" t="s">
        <v>124</v>
      </c>
      <c r="AD12" s="678"/>
      <c r="AE12" s="1038" t="s">
        <v>362</v>
      </c>
      <c r="AF12" s="678"/>
      <c r="AG12" s="678"/>
      <c r="AH12" s="1038" t="s">
        <v>78</v>
      </c>
      <c r="AI12" s="678"/>
      <c r="AJ12" s="678"/>
      <c r="AK12" s="1038" t="s">
        <v>125</v>
      </c>
      <c r="AL12" s="678"/>
      <c r="AM12" s="678"/>
      <c r="AN12" s="615" t="s">
        <v>705</v>
      </c>
      <c r="AO12" s="1054">
        <f ca="1">IF(W12="", "", SUMIF(SK!R$3:R$78, ROW(), SK!T$3:T$78))</f>
        <v>0</v>
      </c>
      <c r="AP12" s="70"/>
      <c r="AQ12" s="1053" t="str">
        <f ca="1">IF(IBRF!H15="","",IBRF!H15)</f>
        <v>38DD</v>
      </c>
      <c r="AR12" s="1055" t="str">
        <f ca="1">IF(IBRF!I15="","",IBRF!I15)</f>
        <v>Tig O' Hitties</v>
      </c>
    </row>
    <row r="13" spans="1:44" ht="14.25" customHeight="1" thickBot="1">
      <c r="A13" s="1036"/>
      <c r="B13" s="1041"/>
      <c r="C13" s="1039"/>
      <c r="D13" s="676"/>
      <c r="E13" s="676"/>
      <c r="F13" s="1037"/>
      <c r="G13" s="676"/>
      <c r="H13" s="676"/>
      <c r="I13" s="1038"/>
      <c r="J13" s="676"/>
      <c r="K13" s="676"/>
      <c r="L13" s="1038"/>
      <c r="M13" s="676"/>
      <c r="N13" s="676"/>
      <c r="O13" s="1038"/>
      <c r="P13" s="676"/>
      <c r="Q13" s="676"/>
      <c r="R13" s="616" t="s">
        <v>706</v>
      </c>
      <c r="S13" s="1054"/>
      <c r="T13" s="70"/>
      <c r="U13" s="1053"/>
      <c r="V13" s="1055"/>
      <c r="W13" s="1036"/>
      <c r="X13" s="1041"/>
      <c r="Y13" s="1039"/>
      <c r="Z13" s="676"/>
      <c r="AA13" s="676"/>
      <c r="AB13" s="1037"/>
      <c r="AC13" s="676"/>
      <c r="AD13" s="676"/>
      <c r="AE13" s="1038"/>
      <c r="AF13" s="676"/>
      <c r="AG13" s="676"/>
      <c r="AH13" s="1038"/>
      <c r="AI13" s="676"/>
      <c r="AJ13" s="676"/>
      <c r="AK13" s="1038"/>
      <c r="AL13" s="676"/>
      <c r="AM13" s="676"/>
      <c r="AN13" s="616" t="s">
        <v>706</v>
      </c>
      <c r="AO13" s="1054"/>
      <c r="AP13" s="70"/>
      <c r="AQ13" s="1053"/>
      <c r="AR13" s="1055"/>
    </row>
    <row r="14" spans="1:44" ht="14.25" customHeight="1" thickBot="1">
      <c r="A14" s="1043">
        <f ca="1">IF(Score!A14="", "",Score!A14 )</f>
        <v>6</v>
      </c>
      <c r="B14" s="1051"/>
      <c r="C14" s="1046" t="str">
        <f ca="1">IF(Score!B14="", "",Score!B14)</f>
        <v>428</v>
      </c>
      <c r="D14" s="675"/>
      <c r="E14" s="675"/>
      <c r="F14" s="1044" t="s">
        <v>219</v>
      </c>
      <c r="G14" s="675" t="s">
        <v>124</v>
      </c>
      <c r="H14" s="675"/>
      <c r="I14" s="1045" t="s">
        <v>49</v>
      </c>
      <c r="J14" s="675"/>
      <c r="K14" s="675"/>
      <c r="L14" s="1045" t="s">
        <v>45</v>
      </c>
      <c r="M14" s="675"/>
      <c r="N14" s="675"/>
      <c r="O14" s="1045" t="s">
        <v>55</v>
      </c>
      <c r="P14" s="675"/>
      <c r="Q14" s="675"/>
      <c r="R14" s="615" t="s">
        <v>705</v>
      </c>
      <c r="S14" s="1047">
        <f ca="1">IF(A14="", "", SUMIF(SK!B$3:B$78, ROW(), SK!D$3:D$78))</f>
        <v>0</v>
      </c>
      <c r="T14" s="70"/>
      <c r="U14" s="1053" t="str">
        <f ca="1">IF(IBRF!B16="","",IBRF!B16)</f>
        <v>20</v>
      </c>
      <c r="V14" s="1055" t="str">
        <f ca="1">IF(IBRF!C16="","",IBRF!C16)</f>
        <v>Devil Kitty</v>
      </c>
      <c r="W14" s="1043">
        <f ca="1">IF(Score!T14="", "",Score!T14 )</f>
        <v>6</v>
      </c>
      <c r="X14" s="1051"/>
      <c r="Y14" s="1046" t="str">
        <f ca="1">IF(Score!U14="", "",Score!U14)</f>
        <v>9.81</v>
      </c>
      <c r="Z14" s="675"/>
      <c r="AA14" s="675"/>
      <c r="AB14" s="1044" t="s">
        <v>72</v>
      </c>
      <c r="AC14" s="675" t="s">
        <v>124</v>
      </c>
      <c r="AD14" s="675" t="s">
        <v>360</v>
      </c>
      <c r="AE14" s="1045" t="s">
        <v>366</v>
      </c>
      <c r="AF14" s="675"/>
      <c r="AG14" s="675"/>
      <c r="AH14" s="1045" t="s">
        <v>113</v>
      </c>
      <c r="AI14" s="675"/>
      <c r="AJ14" s="675"/>
      <c r="AK14" s="1045" t="s">
        <v>80</v>
      </c>
      <c r="AL14" s="675"/>
      <c r="AM14" s="675"/>
      <c r="AN14" s="615" t="s">
        <v>705</v>
      </c>
      <c r="AO14" s="1047">
        <f ca="1">IF(W14="", "", SUMIF(SK!R$3:R$78, ROW(), SK!T$3:T$78))</f>
        <v>4</v>
      </c>
      <c r="AP14" s="70"/>
      <c r="AQ14" s="1053" t="str">
        <f ca="1">IF(IBRF!H16="","",IBRF!H16)</f>
        <v>42</v>
      </c>
      <c r="AR14" s="1055" t="str">
        <f ca="1">IF(IBRF!I16="","",IBRF!I16)</f>
        <v>Midnite Vulture</v>
      </c>
    </row>
    <row r="15" spans="1:44" ht="14.25" customHeight="1" thickBot="1">
      <c r="A15" s="1043"/>
      <c r="B15" s="1052"/>
      <c r="C15" s="1046"/>
      <c r="D15" s="677"/>
      <c r="E15" s="677"/>
      <c r="F15" s="1044"/>
      <c r="G15" s="677"/>
      <c r="H15" s="677"/>
      <c r="I15" s="1045"/>
      <c r="J15" s="677"/>
      <c r="K15" s="677"/>
      <c r="L15" s="1045"/>
      <c r="M15" s="677"/>
      <c r="N15" s="677"/>
      <c r="O15" s="1045"/>
      <c r="P15" s="677"/>
      <c r="Q15" s="677"/>
      <c r="R15" s="616" t="s">
        <v>706</v>
      </c>
      <c r="S15" s="1048"/>
      <c r="T15" s="70"/>
      <c r="U15" s="1053"/>
      <c r="V15" s="1055"/>
      <c r="W15" s="1043"/>
      <c r="X15" s="1052"/>
      <c r="Y15" s="1046"/>
      <c r="Z15" s="677"/>
      <c r="AA15" s="677"/>
      <c r="AB15" s="1044"/>
      <c r="AC15" s="677"/>
      <c r="AD15" s="677"/>
      <c r="AE15" s="1045"/>
      <c r="AF15" s="677"/>
      <c r="AG15" s="677"/>
      <c r="AH15" s="1045"/>
      <c r="AI15" s="677"/>
      <c r="AJ15" s="677"/>
      <c r="AK15" s="1045"/>
      <c r="AL15" s="677"/>
      <c r="AM15" s="677"/>
      <c r="AN15" s="616" t="s">
        <v>706</v>
      </c>
      <c r="AO15" s="1048"/>
      <c r="AP15" s="70"/>
      <c r="AQ15" s="1053"/>
      <c r="AR15" s="1055"/>
    </row>
    <row r="16" spans="1:44" ht="14.25" customHeight="1" thickBot="1">
      <c r="A16" s="1036">
        <f ca="1">IF(Score!A16="", "",Score!A16 )</f>
        <v>7</v>
      </c>
      <c r="B16" s="1040"/>
      <c r="C16" s="1039" t="str">
        <f ca="1">IF(Score!B16="", "",Score!B16)</f>
        <v>80</v>
      </c>
      <c r="D16" s="678"/>
      <c r="E16" s="678"/>
      <c r="F16" s="1037" t="s">
        <v>219</v>
      </c>
      <c r="G16" s="678" t="s">
        <v>124</v>
      </c>
      <c r="H16" s="678" t="s">
        <v>126</v>
      </c>
      <c r="I16" s="1038" t="s">
        <v>41</v>
      </c>
      <c r="J16" s="678"/>
      <c r="K16" s="678"/>
      <c r="L16" s="1038" t="s">
        <v>221</v>
      </c>
      <c r="M16" s="678"/>
      <c r="N16" s="678"/>
      <c r="O16" s="1038" t="s">
        <v>57</v>
      </c>
      <c r="P16" s="678"/>
      <c r="Q16" s="678"/>
      <c r="R16" s="615" t="s">
        <v>705</v>
      </c>
      <c r="S16" s="1054">
        <f ca="1">IF(A16="", "", SUMIF(SK!B$3:B$78, ROW(), SK!D$3:D$78))</f>
        <v>0</v>
      </c>
      <c r="T16" s="70"/>
      <c r="U16" s="1053" t="str">
        <f ca="1">IF(IBRF!B17="","",IBRF!B17)</f>
        <v>20KN</v>
      </c>
      <c r="V16" s="1055" t="str">
        <f ca="1">IF(IBRF!C17="","",IBRF!C17)</f>
        <v>Kraken Whips</v>
      </c>
      <c r="W16" s="1036">
        <f ca="1">IF(Score!T16="", "",Score!T16 )</f>
        <v>7</v>
      </c>
      <c r="X16" s="1040"/>
      <c r="Y16" s="1039" t="str">
        <f ca="1">IF(Score!U16="", "",Score!U16)</f>
        <v>620</v>
      </c>
      <c r="Z16" s="678"/>
      <c r="AA16" s="678"/>
      <c r="AB16" s="1037" t="s">
        <v>78</v>
      </c>
      <c r="AC16" s="678"/>
      <c r="AD16" s="678"/>
      <c r="AE16" s="1038" t="s">
        <v>80</v>
      </c>
      <c r="AF16" s="678"/>
      <c r="AG16" s="678"/>
      <c r="AH16" s="1038" t="s">
        <v>362</v>
      </c>
      <c r="AI16" s="678"/>
      <c r="AJ16" s="678"/>
      <c r="AK16" s="1038" t="s">
        <v>74</v>
      </c>
      <c r="AL16" s="678"/>
      <c r="AM16" s="678"/>
      <c r="AN16" s="615" t="s">
        <v>705</v>
      </c>
      <c r="AO16" s="1054">
        <f ca="1">IF(W16="", "", SUMIF(SK!R$3:R$78, ROW(), SK!T$3:T$78))</f>
        <v>4</v>
      </c>
      <c r="AP16" s="70"/>
      <c r="AQ16" s="1053" t="str">
        <f ca="1">IF(IBRF!H17="","",IBRF!H17)</f>
        <v>50</v>
      </c>
      <c r="AR16" s="1055" t="str">
        <f ca="1">IF(IBRF!I17="","",IBRF!I17)</f>
        <v>Sam-I-Slam</v>
      </c>
    </row>
    <row r="17" spans="1:44" ht="14.25" customHeight="1" thickBot="1">
      <c r="A17" s="1036"/>
      <c r="B17" s="1041"/>
      <c r="C17" s="1039"/>
      <c r="D17" s="676"/>
      <c r="E17" s="676"/>
      <c r="F17" s="1037"/>
      <c r="G17" s="676"/>
      <c r="H17" s="676"/>
      <c r="I17" s="1038"/>
      <c r="J17" s="676"/>
      <c r="K17" s="676"/>
      <c r="L17" s="1038"/>
      <c r="M17" s="676"/>
      <c r="N17" s="676"/>
      <c r="O17" s="1038"/>
      <c r="P17" s="676"/>
      <c r="Q17" s="676"/>
      <c r="R17" s="616" t="s">
        <v>706</v>
      </c>
      <c r="S17" s="1054"/>
      <c r="T17" s="70"/>
      <c r="U17" s="1053"/>
      <c r="V17" s="1055"/>
      <c r="W17" s="1036"/>
      <c r="X17" s="1041"/>
      <c r="Y17" s="1039"/>
      <c r="Z17" s="676"/>
      <c r="AA17" s="676"/>
      <c r="AB17" s="1037"/>
      <c r="AC17" s="676"/>
      <c r="AD17" s="676"/>
      <c r="AE17" s="1038"/>
      <c r="AF17" s="676"/>
      <c r="AG17" s="676"/>
      <c r="AH17" s="1038"/>
      <c r="AI17" s="676"/>
      <c r="AJ17" s="676"/>
      <c r="AK17" s="1038"/>
      <c r="AL17" s="676"/>
      <c r="AM17" s="676"/>
      <c r="AN17" s="616" t="s">
        <v>706</v>
      </c>
      <c r="AO17" s="1054"/>
      <c r="AP17" s="70"/>
      <c r="AQ17" s="1053"/>
      <c r="AR17" s="1055"/>
    </row>
    <row r="18" spans="1:44" ht="14.25" customHeight="1" thickBot="1">
      <c r="A18" s="1043">
        <f ca="1">IF(Score!A18="", "",Score!A18 )</f>
        <v>8</v>
      </c>
      <c r="B18" s="1051"/>
      <c r="C18" s="1046" t="str">
        <f ca="1">IF(Score!B18="", "",Score!B18)</f>
        <v>20KN</v>
      </c>
      <c r="D18" s="675"/>
      <c r="E18" s="675"/>
      <c r="F18" s="1044" t="s">
        <v>59</v>
      </c>
      <c r="G18" s="675"/>
      <c r="H18" s="675"/>
      <c r="I18" s="1045" t="s">
        <v>227</v>
      </c>
      <c r="J18" s="675"/>
      <c r="K18" s="675"/>
      <c r="L18" s="1045" t="s">
        <v>47</v>
      </c>
      <c r="M18" s="675"/>
      <c r="N18" s="675"/>
      <c r="O18" s="1045" t="s">
        <v>55</v>
      </c>
      <c r="P18" s="675"/>
      <c r="Q18" s="675"/>
      <c r="R18" s="615" t="s">
        <v>705</v>
      </c>
      <c r="S18" s="1047">
        <f ca="1">IF(A18="", "", SUMIF(SK!B$3:B$78, ROW(), SK!D$3:D$78))</f>
        <v>1</v>
      </c>
      <c r="T18" s="70"/>
      <c r="U18" s="1053" t="str">
        <f ca="1">IF(IBRF!B18="","",IBRF!B18)</f>
        <v>212</v>
      </c>
      <c r="V18" s="1055" t="str">
        <f ca="1">IF(IBRF!C18="","",IBRF!C18)</f>
        <v>Wham!tramck</v>
      </c>
      <c r="W18" s="1043">
        <f ca="1">IF(Score!T18="", "",Score!T18 )</f>
        <v>8</v>
      </c>
      <c r="X18" s="1051"/>
      <c r="Y18" s="1046" t="str">
        <f ca="1">IF(Score!U18="", "",Score!U18)</f>
        <v>50</v>
      </c>
      <c r="Z18" s="675"/>
      <c r="AA18" s="675"/>
      <c r="AB18" s="1044" t="s">
        <v>72</v>
      </c>
      <c r="AC18" s="675"/>
      <c r="AD18" s="675"/>
      <c r="AE18" s="1045" t="s">
        <v>113</v>
      </c>
      <c r="AF18" s="675"/>
      <c r="AG18" s="675"/>
      <c r="AH18" s="1045" t="s">
        <v>364</v>
      </c>
      <c r="AI18" s="675"/>
      <c r="AJ18" s="675"/>
      <c r="AK18" s="1045" t="s">
        <v>237</v>
      </c>
      <c r="AL18" s="675"/>
      <c r="AM18" s="675"/>
      <c r="AN18" s="615" t="s">
        <v>705</v>
      </c>
      <c r="AO18" s="1047">
        <f ca="1">IF(W18="", "", SUMIF(SK!R$3:R$78, ROW(), SK!T$3:T$78))</f>
        <v>0</v>
      </c>
      <c r="AP18" s="70"/>
      <c r="AQ18" s="1053" t="str">
        <f ca="1">IF(IBRF!H18="","",IBRF!H18)</f>
        <v>620</v>
      </c>
      <c r="AR18" s="1055" t="str">
        <f ca="1">IF(IBRF!I18="","",IBRF!I18)</f>
        <v>Lazer Beam</v>
      </c>
    </row>
    <row r="19" spans="1:44" ht="14.25" customHeight="1" thickBot="1">
      <c r="A19" s="1043"/>
      <c r="B19" s="1052"/>
      <c r="C19" s="1046"/>
      <c r="D19" s="677"/>
      <c r="E19" s="677"/>
      <c r="F19" s="1044"/>
      <c r="G19" s="677"/>
      <c r="H19" s="677"/>
      <c r="I19" s="1045"/>
      <c r="J19" s="677"/>
      <c r="K19" s="677"/>
      <c r="L19" s="1045"/>
      <c r="M19" s="677"/>
      <c r="N19" s="677"/>
      <c r="O19" s="1045"/>
      <c r="P19" s="677"/>
      <c r="Q19" s="677"/>
      <c r="R19" s="616" t="s">
        <v>706</v>
      </c>
      <c r="S19" s="1048"/>
      <c r="T19" s="70"/>
      <c r="U19" s="1053"/>
      <c r="V19" s="1055"/>
      <c r="W19" s="1043"/>
      <c r="X19" s="1052"/>
      <c r="Y19" s="1046"/>
      <c r="Z19" s="677"/>
      <c r="AA19" s="677"/>
      <c r="AB19" s="1044"/>
      <c r="AC19" s="677"/>
      <c r="AD19" s="677"/>
      <c r="AE19" s="1045"/>
      <c r="AF19" s="677"/>
      <c r="AG19" s="677"/>
      <c r="AH19" s="1045"/>
      <c r="AI19" s="677"/>
      <c r="AJ19" s="677"/>
      <c r="AK19" s="1045"/>
      <c r="AL19" s="677"/>
      <c r="AM19" s="677"/>
      <c r="AN19" s="616" t="s">
        <v>706</v>
      </c>
      <c r="AO19" s="1048"/>
      <c r="AP19" s="70"/>
      <c r="AQ19" s="1053"/>
      <c r="AR19" s="1055"/>
    </row>
    <row r="20" spans="1:44" ht="14.25" customHeight="1" thickBot="1">
      <c r="A20" s="1036">
        <f ca="1">IF(Score!A20="", "",Score!A20 )</f>
        <v>9</v>
      </c>
      <c r="B20" s="1040"/>
      <c r="C20" s="1039" t="str">
        <f ca="1">IF(Score!B20="", "",Score!B20)</f>
        <v>728</v>
      </c>
      <c r="D20" s="678"/>
      <c r="E20" s="678"/>
      <c r="F20" s="1037" t="s">
        <v>219</v>
      </c>
      <c r="G20" s="678"/>
      <c r="H20" s="678"/>
      <c r="I20" s="1038" t="s">
        <v>43</v>
      </c>
      <c r="J20" s="678"/>
      <c r="K20" s="678"/>
      <c r="L20" s="1038" t="s">
        <v>45</v>
      </c>
      <c r="M20" s="678"/>
      <c r="N20" s="678"/>
      <c r="O20" s="1038" t="s">
        <v>57</v>
      </c>
      <c r="P20" s="678"/>
      <c r="Q20" s="678"/>
      <c r="R20" s="615" t="s">
        <v>705</v>
      </c>
      <c r="S20" s="1054">
        <f ca="1">IF(A20="", "", SUMIF(SK!B$3:B$78, ROW(), SK!D$3:D$78))</f>
        <v>4</v>
      </c>
      <c r="T20" s="70"/>
      <c r="U20" s="1053" t="str">
        <f ca="1">IF(IBRF!B19="","",IBRF!B19)</f>
        <v>33 1/3</v>
      </c>
      <c r="V20" s="1055" t="str">
        <f ca="1">IF(IBRF!C19="","",IBRF!C19)</f>
        <v>Cookie Rumble</v>
      </c>
      <c r="W20" s="1036">
        <f ca="1">IF(Score!T20="", "",Score!T20 )</f>
        <v>9</v>
      </c>
      <c r="X20" s="1040"/>
      <c r="Y20" s="1039" t="str">
        <f ca="1">IF(Score!U20="", "",Score!U20)</f>
        <v>9.81</v>
      </c>
      <c r="Z20" s="678"/>
      <c r="AA20" s="678"/>
      <c r="AB20" s="1037" t="s">
        <v>78</v>
      </c>
      <c r="AC20" s="678"/>
      <c r="AD20" s="678"/>
      <c r="AE20" s="1038" t="s">
        <v>366</v>
      </c>
      <c r="AF20" s="678"/>
      <c r="AG20" s="678"/>
      <c r="AH20" s="1038" t="s">
        <v>362</v>
      </c>
      <c r="AI20" s="678"/>
      <c r="AJ20" s="678"/>
      <c r="AK20" s="1038" t="s">
        <v>358</v>
      </c>
      <c r="AL20" s="678"/>
      <c r="AM20" s="678"/>
      <c r="AN20" s="615" t="s">
        <v>705</v>
      </c>
      <c r="AO20" s="1054">
        <f ca="1">IF(W20="", "", SUMIF(SK!R$3:R$78, ROW(), SK!T$3:T$78))</f>
        <v>0</v>
      </c>
      <c r="AP20" s="70"/>
      <c r="AQ20" s="1053" t="str">
        <f ca="1">IF(IBRF!H19="","",IBRF!H19)</f>
        <v>7</v>
      </c>
      <c r="AR20" s="1055" t="str">
        <f ca="1">IF(IBRF!I19="","",IBRF!I19)</f>
        <v>CottonCandy Princess</v>
      </c>
    </row>
    <row r="21" spans="1:44" ht="14.25" customHeight="1" thickBot="1">
      <c r="A21" s="1036"/>
      <c r="B21" s="1041"/>
      <c r="C21" s="1039"/>
      <c r="D21" s="676"/>
      <c r="E21" s="676"/>
      <c r="F21" s="1037"/>
      <c r="G21" s="676"/>
      <c r="H21" s="676"/>
      <c r="I21" s="1038"/>
      <c r="J21" s="676"/>
      <c r="K21" s="676"/>
      <c r="L21" s="1038"/>
      <c r="M21" s="676"/>
      <c r="N21" s="676"/>
      <c r="O21" s="1038"/>
      <c r="P21" s="676"/>
      <c r="Q21" s="676"/>
      <c r="R21" s="616" t="s">
        <v>706</v>
      </c>
      <c r="S21" s="1054"/>
      <c r="T21" s="70"/>
      <c r="U21" s="1053"/>
      <c r="V21" s="1055"/>
      <c r="W21" s="1036"/>
      <c r="X21" s="1041"/>
      <c r="Y21" s="1039"/>
      <c r="Z21" s="676"/>
      <c r="AA21" s="676"/>
      <c r="AB21" s="1037"/>
      <c r="AC21" s="676"/>
      <c r="AD21" s="676"/>
      <c r="AE21" s="1038"/>
      <c r="AF21" s="676"/>
      <c r="AG21" s="676"/>
      <c r="AH21" s="1038"/>
      <c r="AI21" s="676"/>
      <c r="AJ21" s="676"/>
      <c r="AK21" s="1038"/>
      <c r="AL21" s="676"/>
      <c r="AM21" s="676"/>
      <c r="AN21" s="616" t="s">
        <v>706</v>
      </c>
      <c r="AO21" s="1054"/>
      <c r="AP21" s="70"/>
      <c r="AQ21" s="1053"/>
      <c r="AR21" s="1055"/>
    </row>
    <row r="22" spans="1:44" ht="14.25" customHeight="1" thickBot="1">
      <c r="A22" s="1043">
        <f ca="1">IF(Score!A22="", "",Score!A22 )</f>
        <v>10</v>
      </c>
      <c r="B22" s="1051"/>
      <c r="C22" s="1046" t="str">
        <f ca="1">IF(Score!B22="", "",Score!B22)</f>
        <v>428</v>
      </c>
      <c r="D22" s="675"/>
      <c r="E22" s="675"/>
      <c r="F22" s="1044" t="s">
        <v>51</v>
      </c>
      <c r="G22" s="675"/>
      <c r="H22" s="675"/>
      <c r="I22" s="1045" t="s">
        <v>55</v>
      </c>
      <c r="J22" s="675"/>
      <c r="K22" s="675"/>
      <c r="L22" s="1045" t="s">
        <v>700</v>
      </c>
      <c r="M22" s="675"/>
      <c r="N22" s="675"/>
      <c r="O22" s="1045" t="s">
        <v>47</v>
      </c>
      <c r="P22" s="675"/>
      <c r="Q22" s="675"/>
      <c r="R22" s="615" t="s">
        <v>705</v>
      </c>
      <c r="S22" s="1047">
        <f ca="1">IF(A22="", "", SUMIF(SK!B$3:B$78, ROW(), SK!D$3:D$78))</f>
        <v>0</v>
      </c>
      <c r="T22" s="70"/>
      <c r="U22" s="1053" t="str">
        <f ca="1">IF(IBRF!B20="","",IBRF!B20)</f>
        <v>428</v>
      </c>
      <c r="V22" s="1055" t="str">
        <f ca="1">IF(IBRF!C20="","",IBRF!C20)</f>
        <v>Freakin' Rican</v>
      </c>
      <c r="W22" s="1043">
        <f ca="1">IF(Score!T22="", "",Score!T22 )</f>
        <v>10</v>
      </c>
      <c r="X22" s="1051"/>
      <c r="Y22" s="1046" t="str">
        <f ca="1">IF(Score!U22="", "",Score!U22)</f>
        <v>620</v>
      </c>
      <c r="Z22" s="675"/>
      <c r="AA22" s="675"/>
      <c r="AB22" s="1044" t="s">
        <v>72</v>
      </c>
      <c r="AC22" s="675"/>
      <c r="AD22" s="675"/>
      <c r="AE22" s="1045" t="s">
        <v>80</v>
      </c>
      <c r="AF22" s="675"/>
      <c r="AG22" s="675"/>
      <c r="AH22" s="1045" t="s">
        <v>115</v>
      </c>
      <c r="AI22" s="675"/>
      <c r="AJ22" s="675"/>
      <c r="AK22" s="1045" t="s">
        <v>364</v>
      </c>
      <c r="AL22" s="675"/>
      <c r="AM22" s="675"/>
      <c r="AN22" s="615" t="s">
        <v>705</v>
      </c>
      <c r="AO22" s="1047">
        <f ca="1">IF(W22="", "", SUMIF(SK!R$3:R$78, ROW(), SK!T$3:T$78))</f>
        <v>4</v>
      </c>
      <c r="AP22" s="70"/>
      <c r="AQ22" s="1053" t="str">
        <f ca="1">IF(IBRF!H20="","",IBRF!H20)</f>
        <v>72</v>
      </c>
      <c r="AR22" s="1055" t="str">
        <f ca="1">IF(IBRF!I20="","",IBRF!I20)</f>
        <v>Demonica Mars</v>
      </c>
    </row>
    <row r="23" spans="1:44" ht="14.25" customHeight="1" thickBot="1">
      <c r="A23" s="1043"/>
      <c r="B23" s="1052"/>
      <c r="C23" s="1046"/>
      <c r="D23" s="677"/>
      <c r="E23" s="677"/>
      <c r="F23" s="1044"/>
      <c r="G23" s="677"/>
      <c r="H23" s="677"/>
      <c r="I23" s="1045"/>
      <c r="J23" s="677"/>
      <c r="K23" s="677"/>
      <c r="L23" s="1045"/>
      <c r="M23" s="677"/>
      <c r="N23" s="677"/>
      <c r="O23" s="1045"/>
      <c r="P23" s="677"/>
      <c r="Q23" s="677"/>
      <c r="R23" s="616" t="s">
        <v>706</v>
      </c>
      <c r="S23" s="1048"/>
      <c r="T23" s="70"/>
      <c r="U23" s="1053"/>
      <c r="V23" s="1055"/>
      <c r="W23" s="1043"/>
      <c r="X23" s="1052"/>
      <c r="Y23" s="1046"/>
      <c r="Z23" s="677"/>
      <c r="AA23" s="677"/>
      <c r="AB23" s="1044"/>
      <c r="AC23" s="677"/>
      <c r="AD23" s="677"/>
      <c r="AE23" s="1045"/>
      <c r="AF23" s="677"/>
      <c r="AG23" s="677"/>
      <c r="AH23" s="1045"/>
      <c r="AI23" s="677"/>
      <c r="AJ23" s="677"/>
      <c r="AK23" s="1045"/>
      <c r="AL23" s="677"/>
      <c r="AM23" s="677"/>
      <c r="AN23" s="616" t="s">
        <v>706</v>
      </c>
      <c r="AO23" s="1048"/>
      <c r="AP23" s="70"/>
      <c r="AQ23" s="1053"/>
      <c r="AR23" s="1055"/>
    </row>
    <row r="24" spans="1:44" ht="14.25" customHeight="1" thickBot="1">
      <c r="A24" s="1036">
        <f ca="1">IF(Score!A24="", "",Score!A24 )</f>
        <v>11</v>
      </c>
      <c r="B24" s="1040"/>
      <c r="C24" s="1039" t="str">
        <f ca="1">IF(Score!B24="", "",Score!B24)</f>
        <v>33 1/3</v>
      </c>
      <c r="D24" s="678"/>
      <c r="E24" s="678"/>
      <c r="F24" s="1037" t="s">
        <v>219</v>
      </c>
      <c r="G24" s="678"/>
      <c r="H24" s="678"/>
      <c r="I24" s="1038" t="s">
        <v>49</v>
      </c>
      <c r="J24" s="678"/>
      <c r="K24" s="678"/>
      <c r="L24" s="1038" t="s">
        <v>221</v>
      </c>
      <c r="M24" s="678"/>
      <c r="N24" s="678"/>
      <c r="O24" s="1038" t="s">
        <v>47</v>
      </c>
      <c r="P24" s="678"/>
      <c r="Q24" s="678"/>
      <c r="R24" s="615" t="s">
        <v>705</v>
      </c>
      <c r="S24" s="1054">
        <f ca="1">IF(A24="", "", SUMIF(SK!B$3:B$78, ROW(), SK!D$3:D$78))</f>
        <v>0</v>
      </c>
      <c r="T24" s="70"/>
      <c r="U24" s="1053" t="str">
        <f ca="1">IF(IBRF!B21="","",IBRF!B21)</f>
        <v>6</v>
      </c>
      <c r="V24" s="1055" t="str">
        <f ca="1">IF(IBRF!C21="","",IBRF!C21)</f>
        <v>Elle McFearsome</v>
      </c>
      <c r="W24" s="1036">
        <f ca="1">IF(Score!T24="", "",Score!T24 )</f>
        <v>11</v>
      </c>
      <c r="X24" s="1040"/>
      <c r="Y24" s="1039" t="str">
        <f ca="1">IF(Score!U24="", "",Score!U24)</f>
        <v>50</v>
      </c>
      <c r="Z24" s="678"/>
      <c r="AA24" s="678"/>
      <c r="AB24" s="1037" t="s">
        <v>113</v>
      </c>
      <c r="AC24" s="678"/>
      <c r="AD24" s="678"/>
      <c r="AE24" s="1038" t="s">
        <v>125</v>
      </c>
      <c r="AF24" s="678"/>
      <c r="AG24" s="678"/>
      <c r="AH24" s="1038" t="s">
        <v>366</v>
      </c>
      <c r="AI24" s="678"/>
      <c r="AJ24" s="678"/>
      <c r="AK24" s="1038" t="s">
        <v>362</v>
      </c>
      <c r="AL24" s="678"/>
      <c r="AM24" s="678"/>
      <c r="AN24" s="615" t="s">
        <v>705</v>
      </c>
      <c r="AO24" s="1054">
        <f ca="1">IF(W24="", "", SUMIF(SK!R$3:R$78, ROW(), SK!T$3:T$78))</f>
        <v>0</v>
      </c>
      <c r="AP24" s="70"/>
      <c r="AQ24" s="1053" t="str">
        <f ca="1">IF(IBRF!H21="","",IBRF!H21)</f>
        <v>9.81</v>
      </c>
      <c r="AR24" s="1055" t="str">
        <f ca="1">IF(IBRF!I21="","",IBRF!I21)</f>
        <v>Uhura Belle Death</v>
      </c>
    </row>
    <row r="25" spans="1:44" ht="14.25" customHeight="1" thickBot="1">
      <c r="A25" s="1036"/>
      <c r="B25" s="1041"/>
      <c r="C25" s="1039"/>
      <c r="D25" s="676"/>
      <c r="E25" s="676"/>
      <c r="F25" s="1037"/>
      <c r="G25" s="676"/>
      <c r="H25" s="676"/>
      <c r="I25" s="1038"/>
      <c r="J25" s="676"/>
      <c r="K25" s="676"/>
      <c r="L25" s="1038"/>
      <c r="M25" s="676"/>
      <c r="N25" s="676"/>
      <c r="O25" s="1038"/>
      <c r="P25" s="676"/>
      <c r="Q25" s="676"/>
      <c r="R25" s="616" t="s">
        <v>706</v>
      </c>
      <c r="S25" s="1054"/>
      <c r="T25" s="70"/>
      <c r="U25" s="1053"/>
      <c r="V25" s="1055"/>
      <c r="W25" s="1036"/>
      <c r="X25" s="1041"/>
      <c r="Y25" s="1039"/>
      <c r="Z25" s="676"/>
      <c r="AA25" s="676"/>
      <c r="AB25" s="1037"/>
      <c r="AC25" s="676"/>
      <c r="AD25" s="676"/>
      <c r="AE25" s="1038"/>
      <c r="AF25" s="676"/>
      <c r="AG25" s="676"/>
      <c r="AH25" s="1038"/>
      <c r="AI25" s="676"/>
      <c r="AJ25" s="676"/>
      <c r="AK25" s="1038"/>
      <c r="AL25" s="676"/>
      <c r="AM25" s="676"/>
      <c r="AN25" s="616" t="s">
        <v>706</v>
      </c>
      <c r="AO25" s="1054"/>
      <c r="AP25" s="70"/>
      <c r="AQ25" s="1053"/>
      <c r="AR25" s="1055"/>
    </row>
    <row r="26" spans="1:44" ht="14.25" customHeight="1" thickBot="1">
      <c r="A26" s="1043">
        <f ca="1">IF(Score!A26="", "",Score!A26 )</f>
        <v>12</v>
      </c>
      <c r="B26" s="1051"/>
      <c r="C26" s="1046" t="str">
        <f ca="1">IF(Score!B26="", "",Score!B26)</f>
        <v>20KN</v>
      </c>
      <c r="D26" s="675"/>
      <c r="E26" s="675"/>
      <c r="F26" s="1044" t="s">
        <v>51</v>
      </c>
      <c r="G26" s="675"/>
      <c r="H26" s="675"/>
      <c r="I26" s="1045" t="s">
        <v>41</v>
      </c>
      <c r="J26" s="675"/>
      <c r="K26" s="675"/>
      <c r="L26" s="1045" t="s">
        <v>45</v>
      </c>
      <c r="M26" s="675"/>
      <c r="N26" s="675"/>
      <c r="O26" s="1045" t="s">
        <v>223</v>
      </c>
      <c r="P26" s="675"/>
      <c r="Q26" s="675"/>
      <c r="R26" s="615" t="s">
        <v>705</v>
      </c>
      <c r="S26" s="1047">
        <f ca="1">IF(A26="", "", SUMIF(SK!B$3:B$78, ROW(), SK!D$3:D$78))</f>
        <v>0</v>
      </c>
      <c r="T26" s="70"/>
      <c r="U26" s="1053" t="str">
        <f ca="1">IF(IBRF!B22="","",IBRF!B22)</f>
        <v>728</v>
      </c>
      <c r="V26" s="1055" t="str">
        <f ca="1">IF(IBRF!C22="","",IBRF!C22)</f>
        <v>Combat Cat</v>
      </c>
      <c r="W26" s="1043">
        <f ca="1">IF(Score!T26="", "",Score!T26 )</f>
        <v>12</v>
      </c>
      <c r="X26" s="1051"/>
      <c r="Y26" s="1046" t="str">
        <f ca="1">IF(Score!U26="", "",Score!U26)</f>
        <v>9.81</v>
      </c>
      <c r="Z26" s="675"/>
      <c r="AA26" s="675"/>
      <c r="AB26" s="1044" t="s">
        <v>113</v>
      </c>
      <c r="AC26" s="675"/>
      <c r="AD26" s="675"/>
      <c r="AE26" s="1045" t="s">
        <v>80</v>
      </c>
      <c r="AF26" s="675"/>
      <c r="AG26" s="675"/>
      <c r="AH26" s="1045" t="s">
        <v>74</v>
      </c>
      <c r="AI26" s="675"/>
      <c r="AJ26" s="675"/>
      <c r="AK26" s="1045" t="s">
        <v>364</v>
      </c>
      <c r="AL26" s="675"/>
      <c r="AM26" s="675"/>
      <c r="AN26" s="615" t="s">
        <v>705</v>
      </c>
      <c r="AO26" s="1047">
        <f ca="1">IF(W26="", "", SUMIF(SK!R$3:R$78, ROW(), SK!T$3:T$78))</f>
        <v>1</v>
      </c>
      <c r="AP26" s="70"/>
      <c r="AQ26" s="1053" t="str">
        <f ca="1">IF(IBRF!H22="","",IBRF!H22)</f>
        <v>I-75</v>
      </c>
      <c r="AR26" s="1055" t="str">
        <f ca="1">IF(IBRF!I22="","",IBRF!I22)</f>
        <v>Diesel Doll</v>
      </c>
    </row>
    <row r="27" spans="1:44" ht="14.25" customHeight="1" thickBot="1">
      <c r="A27" s="1043"/>
      <c r="B27" s="1052"/>
      <c r="C27" s="1046"/>
      <c r="D27" s="677"/>
      <c r="E27" s="677"/>
      <c r="F27" s="1044"/>
      <c r="G27" s="677"/>
      <c r="H27" s="677"/>
      <c r="I27" s="1045"/>
      <c r="J27" s="677"/>
      <c r="K27" s="677"/>
      <c r="L27" s="1045"/>
      <c r="M27" s="677"/>
      <c r="N27" s="677"/>
      <c r="O27" s="1045"/>
      <c r="P27" s="677"/>
      <c r="Q27" s="677"/>
      <c r="R27" s="616" t="s">
        <v>706</v>
      </c>
      <c r="S27" s="1048"/>
      <c r="T27" s="70"/>
      <c r="U27" s="1053"/>
      <c r="V27" s="1055"/>
      <c r="W27" s="1043"/>
      <c r="X27" s="1052"/>
      <c r="Y27" s="1046"/>
      <c r="Z27" s="677"/>
      <c r="AA27" s="677"/>
      <c r="AB27" s="1044"/>
      <c r="AC27" s="677"/>
      <c r="AD27" s="677"/>
      <c r="AE27" s="1045"/>
      <c r="AF27" s="677"/>
      <c r="AG27" s="677"/>
      <c r="AH27" s="1045"/>
      <c r="AI27" s="677"/>
      <c r="AJ27" s="677"/>
      <c r="AK27" s="1045"/>
      <c r="AL27" s="677"/>
      <c r="AM27" s="677"/>
      <c r="AN27" s="616" t="s">
        <v>706</v>
      </c>
      <c r="AO27" s="1048"/>
      <c r="AP27" s="70"/>
      <c r="AQ27" s="1053"/>
      <c r="AR27" s="1055"/>
    </row>
    <row r="28" spans="1:44" ht="14.25" customHeight="1" thickBot="1">
      <c r="A28" s="1036">
        <f ca="1">IF(Score!A28="", "",Score!A28 )</f>
        <v>13</v>
      </c>
      <c r="B28" s="1040"/>
      <c r="C28" s="1039" t="str">
        <f ca="1">IF(Score!B28="", "",Score!B28)</f>
        <v>33 1/3</v>
      </c>
      <c r="D28" s="678" t="s">
        <v>360</v>
      </c>
      <c r="E28" s="678"/>
      <c r="F28" s="1037" t="s">
        <v>219</v>
      </c>
      <c r="G28" s="678"/>
      <c r="H28" s="678"/>
      <c r="I28" s="1038" t="s">
        <v>221</v>
      </c>
      <c r="J28" s="678"/>
      <c r="K28" s="678"/>
      <c r="L28" s="1038" t="s">
        <v>43</v>
      </c>
      <c r="M28" s="678"/>
      <c r="N28" s="678"/>
      <c r="O28" s="1038" t="s">
        <v>227</v>
      </c>
      <c r="P28" s="678"/>
      <c r="Q28" s="678"/>
      <c r="R28" s="615" t="s">
        <v>705</v>
      </c>
      <c r="S28" s="1054">
        <f ca="1">IF(A28="", "", SUMIF(SK!B$3:B$78, ROW(), SK!D$3:D$78))</f>
        <v>11</v>
      </c>
      <c r="T28" s="70"/>
      <c r="U28" s="1053" t="str">
        <f ca="1">IF(IBRF!B23="","",IBRF!B23)</f>
        <v>80</v>
      </c>
      <c r="V28" s="1055" t="str">
        <f ca="1">IF(IBRF!C23="","",IBRF!C23)</f>
        <v>Mean Streak</v>
      </c>
      <c r="W28" s="1036">
        <f ca="1">IF(Score!T28="", "",Score!T28 )</f>
        <v>13</v>
      </c>
      <c r="X28" s="1040"/>
      <c r="Y28" s="1039" t="str">
        <f ca="1">IF(Score!U28="", "",Score!U28)</f>
        <v>620</v>
      </c>
      <c r="Z28" s="678" t="s">
        <v>126</v>
      </c>
      <c r="AA28" s="678" t="s">
        <v>127</v>
      </c>
      <c r="AB28" s="1037" t="s">
        <v>78</v>
      </c>
      <c r="AC28" s="678"/>
      <c r="AD28" s="678"/>
      <c r="AE28" s="1038" t="s">
        <v>80</v>
      </c>
      <c r="AF28" s="678"/>
      <c r="AG28" s="678"/>
      <c r="AH28" s="1038" t="s">
        <v>72</v>
      </c>
      <c r="AI28" s="678"/>
      <c r="AJ28" s="678"/>
      <c r="AK28" s="1038" t="s">
        <v>362</v>
      </c>
      <c r="AL28" s="678"/>
      <c r="AM28" s="678"/>
      <c r="AN28" s="615" t="s">
        <v>705</v>
      </c>
      <c r="AO28" s="1054">
        <f ca="1">IF(W28="", "", SUMIF(SK!R$3:R$78, ROW(), SK!T$3:T$78))</f>
        <v>0</v>
      </c>
      <c r="AP28" s="70"/>
      <c r="AQ28" s="1053" t="str">
        <f ca="1">IF(IBRF!H23="","",IBRF!H23)</f>
        <v>N2O</v>
      </c>
      <c r="AR28" s="1055" t="str">
        <f ca="1">IF(IBRF!I23="","",IBRF!I23)</f>
        <v>Cool Whip</v>
      </c>
    </row>
    <row r="29" spans="1:44" ht="14.25" customHeight="1" thickBot="1">
      <c r="A29" s="1036"/>
      <c r="B29" s="1041"/>
      <c r="C29" s="1039"/>
      <c r="D29" s="676"/>
      <c r="E29" s="676"/>
      <c r="F29" s="1037"/>
      <c r="G29" s="676"/>
      <c r="H29" s="676"/>
      <c r="I29" s="1038"/>
      <c r="J29" s="676"/>
      <c r="K29" s="676"/>
      <c r="L29" s="1038"/>
      <c r="M29" s="676"/>
      <c r="N29" s="676"/>
      <c r="O29" s="1038"/>
      <c r="P29" s="676"/>
      <c r="Q29" s="676"/>
      <c r="R29" s="616" t="s">
        <v>706</v>
      </c>
      <c r="S29" s="1054"/>
      <c r="T29" s="70"/>
      <c r="U29" s="1053"/>
      <c r="V29" s="1055"/>
      <c r="W29" s="1036"/>
      <c r="X29" s="1041"/>
      <c r="Y29" s="1039"/>
      <c r="Z29" s="676"/>
      <c r="AA29" s="676"/>
      <c r="AB29" s="1037"/>
      <c r="AC29" s="676"/>
      <c r="AD29" s="676"/>
      <c r="AE29" s="1038"/>
      <c r="AF29" s="676"/>
      <c r="AG29" s="676"/>
      <c r="AH29" s="1038"/>
      <c r="AI29" s="676"/>
      <c r="AJ29" s="676"/>
      <c r="AK29" s="1038"/>
      <c r="AL29" s="676"/>
      <c r="AM29" s="676"/>
      <c r="AN29" s="616" t="s">
        <v>706</v>
      </c>
      <c r="AO29" s="1054"/>
      <c r="AP29" s="70"/>
      <c r="AQ29" s="1053"/>
      <c r="AR29" s="1055"/>
    </row>
    <row r="30" spans="1:44" ht="14.25" customHeight="1" thickBot="1">
      <c r="A30" s="1043">
        <f ca="1">IF(Score!A30="", "",Score!A30 )</f>
        <v>14</v>
      </c>
      <c r="B30" s="1051"/>
      <c r="C30" s="1046" t="str">
        <f ca="1">IF(Score!B30="", "",Score!B30)</f>
        <v>33 1/3</v>
      </c>
      <c r="D30" s="675" t="s">
        <v>124</v>
      </c>
      <c r="E30" s="675" t="s">
        <v>127</v>
      </c>
      <c r="F30" s="1044" t="s">
        <v>51</v>
      </c>
      <c r="G30" s="675"/>
      <c r="H30" s="675"/>
      <c r="I30" s="1045" t="s">
        <v>45</v>
      </c>
      <c r="J30" s="675"/>
      <c r="K30" s="675"/>
      <c r="L30" s="1045" t="s">
        <v>47</v>
      </c>
      <c r="M30" s="675"/>
      <c r="N30" s="675"/>
      <c r="O30" s="1045" t="s">
        <v>55</v>
      </c>
      <c r="P30" s="675"/>
      <c r="Q30" s="675"/>
      <c r="R30" s="615" t="s">
        <v>705</v>
      </c>
      <c r="S30" s="1047">
        <f ca="1">IF(A30="", "", SUMIF(SK!B$3:B$78, ROW(), SK!D$3:D$78))</f>
        <v>0</v>
      </c>
      <c r="T30" s="70"/>
      <c r="U30" s="1057" t="str">
        <f ca="1">IF(IBRF!B24="","",IBRF!B24)</f>
        <v>9.99</v>
      </c>
      <c r="V30" s="1082" t="str">
        <f ca="1">IF(IBRF!C24="","",IBRF!C24)</f>
        <v>U.S.S. DentHerPrize</v>
      </c>
      <c r="W30" s="1043">
        <f ca="1">IF(Score!T30="", "",Score!T30 )</f>
        <v>14</v>
      </c>
      <c r="X30" s="1051"/>
      <c r="Y30" s="1046" t="str">
        <f ca="1">IF(Score!U30="", "",Score!U30)</f>
        <v>620</v>
      </c>
      <c r="Z30" s="675"/>
      <c r="AA30" s="675"/>
      <c r="AB30" s="1044" t="s">
        <v>113</v>
      </c>
      <c r="AC30" s="675"/>
      <c r="AD30" s="675"/>
      <c r="AE30" s="1045" t="s">
        <v>80</v>
      </c>
      <c r="AF30" s="675"/>
      <c r="AG30" s="675"/>
      <c r="AH30" s="1045" t="s">
        <v>366</v>
      </c>
      <c r="AI30" s="675"/>
      <c r="AJ30" s="675"/>
      <c r="AK30" s="1045" t="s">
        <v>362</v>
      </c>
      <c r="AL30" s="675" t="s">
        <v>126</v>
      </c>
      <c r="AM30" s="675"/>
      <c r="AN30" s="615" t="s">
        <v>705</v>
      </c>
      <c r="AO30" s="1047">
        <f ca="1">IF(W30="", "", SUMIF(SK!R$3:R$78, ROW(), SK!T$3:T$78))</f>
        <v>10</v>
      </c>
      <c r="AP30" s="70"/>
      <c r="AQ30" s="1053" t="str">
        <f ca="1">IF(IBRF!H24="","",IBRF!H24)</f>
        <v>W00T</v>
      </c>
      <c r="AR30" s="1055" t="str">
        <f ca="1">IF(IBRF!I24="","",IBRF!I24)</f>
        <v>Genniferal</v>
      </c>
    </row>
    <row r="31" spans="1:44" ht="14.25" customHeight="1" thickBot="1">
      <c r="A31" s="1043"/>
      <c r="B31" s="1052"/>
      <c r="C31" s="1046"/>
      <c r="D31" s="677"/>
      <c r="E31" s="677"/>
      <c r="F31" s="1044"/>
      <c r="G31" s="677"/>
      <c r="H31" s="677"/>
      <c r="I31" s="1045"/>
      <c r="J31" s="677"/>
      <c r="K31" s="677"/>
      <c r="L31" s="1045"/>
      <c r="M31" s="677"/>
      <c r="N31" s="677"/>
      <c r="O31" s="1045"/>
      <c r="P31" s="677"/>
      <c r="Q31" s="677"/>
      <c r="R31" s="616" t="s">
        <v>706</v>
      </c>
      <c r="S31" s="1048"/>
      <c r="T31" s="70"/>
      <c r="U31" s="1057"/>
      <c r="V31" s="1082"/>
      <c r="W31" s="1043"/>
      <c r="X31" s="1052"/>
      <c r="Y31" s="1046"/>
      <c r="Z31" s="677"/>
      <c r="AA31" s="677"/>
      <c r="AB31" s="1044"/>
      <c r="AC31" s="677"/>
      <c r="AD31" s="677"/>
      <c r="AE31" s="1045"/>
      <c r="AF31" s="677"/>
      <c r="AG31" s="677"/>
      <c r="AH31" s="1045"/>
      <c r="AI31" s="677"/>
      <c r="AJ31" s="677"/>
      <c r="AK31" s="1045"/>
      <c r="AL31" s="677"/>
      <c r="AM31" s="677"/>
      <c r="AN31" s="616" t="s">
        <v>706</v>
      </c>
      <c r="AO31" s="1048"/>
      <c r="AP31" s="70"/>
      <c r="AQ31" s="1053"/>
      <c r="AR31" s="1055"/>
    </row>
    <row r="32" spans="1:44" ht="14.25" customHeight="1" thickBot="1">
      <c r="A32" s="1036">
        <f ca="1">IF(Score!A32="", "",Score!A32 )</f>
        <v>15</v>
      </c>
      <c r="B32" s="1040"/>
      <c r="C32" s="1039" t="str">
        <f ca="1">IF(Score!B32="", "",Score!B32)</f>
        <v>80</v>
      </c>
      <c r="D32" s="678"/>
      <c r="E32" s="678"/>
      <c r="F32" s="1037" t="s">
        <v>57</v>
      </c>
      <c r="G32" s="678"/>
      <c r="H32" s="678"/>
      <c r="I32" s="1038" t="s">
        <v>43</v>
      </c>
      <c r="J32" s="678"/>
      <c r="K32" s="678"/>
      <c r="L32" s="1038" t="s">
        <v>221</v>
      </c>
      <c r="M32" s="678"/>
      <c r="N32" s="678"/>
      <c r="O32" s="1038" t="s">
        <v>41</v>
      </c>
      <c r="P32" s="678"/>
      <c r="Q32" s="678"/>
      <c r="R32" s="615" t="s">
        <v>705</v>
      </c>
      <c r="S32" s="1054">
        <f ca="1">IF(A32="", "", SUMIF(SK!B$3:B$78, ROW(), SK!D$3:D$78))</f>
        <v>4</v>
      </c>
      <c r="T32" s="70"/>
      <c r="U32" s="1053" t="str">
        <f ca="1">IF(IBRF!B25="","",IBRF!B25)</f>
        <v>F14</v>
      </c>
      <c r="V32" s="1055" t="str">
        <f ca="1">IF(IBRF!C25="","",IBRF!C25)</f>
        <v>Apertorture</v>
      </c>
      <c r="W32" s="1036">
        <f ca="1">IF(Score!T32="", "",Score!T32 )</f>
        <v>15</v>
      </c>
      <c r="X32" s="1040"/>
      <c r="Y32" s="1039" t="str">
        <f ca="1">IF(Score!U32="", "",Score!U32)</f>
        <v>9.81</v>
      </c>
      <c r="Z32" s="678"/>
      <c r="AA32" s="678"/>
      <c r="AB32" s="1037" t="s">
        <v>78</v>
      </c>
      <c r="AC32" s="678"/>
      <c r="AD32" s="678"/>
      <c r="AE32" s="1038" t="s">
        <v>125</v>
      </c>
      <c r="AF32" s="678"/>
      <c r="AG32" s="678"/>
      <c r="AH32" s="1038" t="s">
        <v>237</v>
      </c>
      <c r="AI32" s="678"/>
      <c r="AJ32" s="678"/>
      <c r="AK32" s="1038" t="s">
        <v>362</v>
      </c>
      <c r="AL32" s="678" t="s">
        <v>124</v>
      </c>
      <c r="AM32" s="678"/>
      <c r="AN32" s="615" t="s">
        <v>705</v>
      </c>
      <c r="AO32" s="1054">
        <f ca="1">IF(W32="", "", SUMIF(SK!R$3:R$78, ROW(), SK!T$3:T$78))</f>
        <v>0</v>
      </c>
      <c r="AP32" s="70"/>
      <c r="AQ32" s="1053" t="str">
        <f ca="1">IF(IBRF!H25="","",IBRF!H25)</f>
        <v>Z28</v>
      </c>
      <c r="AR32" s="1055" t="str">
        <f ca="1">IF(IBRF!I25="","",IBRF!I25)</f>
        <v>V8 Nightmare</v>
      </c>
    </row>
    <row r="33" spans="1:44" ht="14.25" customHeight="1" thickBot="1">
      <c r="A33" s="1036"/>
      <c r="B33" s="1041"/>
      <c r="C33" s="1039"/>
      <c r="D33" s="676"/>
      <c r="E33" s="676"/>
      <c r="F33" s="1037"/>
      <c r="G33" s="676"/>
      <c r="H33" s="676"/>
      <c r="I33" s="1038"/>
      <c r="J33" s="676"/>
      <c r="K33" s="676"/>
      <c r="L33" s="1038"/>
      <c r="M33" s="676"/>
      <c r="N33" s="676"/>
      <c r="O33" s="1038"/>
      <c r="P33" s="676"/>
      <c r="Q33" s="676"/>
      <c r="R33" s="616" t="s">
        <v>706</v>
      </c>
      <c r="S33" s="1054"/>
      <c r="T33" s="70"/>
      <c r="U33" s="1053"/>
      <c r="V33" s="1055"/>
      <c r="W33" s="1036"/>
      <c r="X33" s="1041"/>
      <c r="Y33" s="1039"/>
      <c r="Z33" s="676"/>
      <c r="AA33" s="676"/>
      <c r="AB33" s="1037"/>
      <c r="AC33" s="676"/>
      <c r="AD33" s="676"/>
      <c r="AE33" s="1038"/>
      <c r="AF33" s="676"/>
      <c r="AG33" s="676"/>
      <c r="AH33" s="1038"/>
      <c r="AI33" s="676"/>
      <c r="AJ33" s="676"/>
      <c r="AK33" s="1038"/>
      <c r="AL33" s="676"/>
      <c r="AM33" s="676"/>
      <c r="AN33" s="616" t="s">
        <v>706</v>
      </c>
      <c r="AO33" s="1054"/>
      <c r="AP33" s="70"/>
      <c r="AQ33" s="1053"/>
      <c r="AR33" s="1055"/>
    </row>
    <row r="34" spans="1:44" ht="14.25" customHeight="1" thickBot="1">
      <c r="A34" s="1043">
        <f ca="1">IF(Score!A34="", "",Score!A34 )</f>
        <v>16</v>
      </c>
      <c r="B34" s="1051"/>
      <c r="C34" s="1046" t="str">
        <f ca="1">IF(Score!B34="", "",Score!B34)</f>
        <v>20KN</v>
      </c>
      <c r="D34" s="675"/>
      <c r="E34" s="675"/>
      <c r="F34" s="1044" t="s">
        <v>59</v>
      </c>
      <c r="G34" s="675"/>
      <c r="H34" s="675"/>
      <c r="I34" s="1045" t="s">
        <v>227</v>
      </c>
      <c r="J34" s="675"/>
      <c r="K34" s="675"/>
      <c r="L34" s="1045" t="s">
        <v>45</v>
      </c>
      <c r="M34" s="675"/>
      <c r="N34" s="675"/>
      <c r="O34" s="1045" t="s">
        <v>55</v>
      </c>
      <c r="P34" s="675"/>
      <c r="Q34" s="675"/>
      <c r="R34" s="615" t="s">
        <v>705</v>
      </c>
      <c r="S34" s="1047">
        <f ca="1">IF(A34="", "", SUMIF(SK!B$3:B$78, ROW(), SK!D$3:D$78))</f>
        <v>9</v>
      </c>
      <c r="T34" s="70"/>
      <c r="U34" s="1053" t="str">
        <f ca="1">IF(IBRF!B26="","",IBRF!B26)</f>
        <v/>
      </c>
      <c r="V34" s="1055" t="str">
        <f ca="1">IF(IBRF!C26="","",IBRF!C26)</f>
        <v/>
      </c>
      <c r="W34" s="1043">
        <f ca="1">IF(Score!T34="", "",Score!T34 )</f>
        <v>16</v>
      </c>
      <c r="X34" s="1051" t="s">
        <v>531</v>
      </c>
      <c r="Y34" s="1046" t="str">
        <f ca="1">IF(Score!U34="", "",Score!U34)</f>
        <v>50</v>
      </c>
      <c r="Z34" s="675"/>
      <c r="AA34" s="675"/>
      <c r="AB34" s="1044" t="s">
        <v>72</v>
      </c>
      <c r="AC34" s="675"/>
      <c r="AD34" s="675"/>
      <c r="AE34" s="1045" t="s">
        <v>358</v>
      </c>
      <c r="AF34" s="675"/>
      <c r="AG34" s="675"/>
      <c r="AH34" s="1045" t="s">
        <v>364</v>
      </c>
      <c r="AI34" s="675"/>
      <c r="AJ34" s="675"/>
      <c r="AK34" s="1045" t="s">
        <v>362</v>
      </c>
      <c r="AL34" s="675" t="s">
        <v>124</v>
      </c>
      <c r="AM34" s="675"/>
      <c r="AN34" s="615" t="s">
        <v>705</v>
      </c>
      <c r="AO34" s="1047">
        <f ca="1">IF(W34="", "", SUMIF(SK!R$3:R$78, ROW(), SK!T$3:T$78))</f>
        <v>0</v>
      </c>
      <c r="AP34" s="70"/>
      <c r="AQ34" s="1053" t="str">
        <f ca="1">IF(IBRF!H26="","",IBRF!H26)</f>
        <v/>
      </c>
      <c r="AR34" s="1055" t="str">
        <f ca="1">IF(IBRF!I26="","",IBRF!I26)</f>
        <v/>
      </c>
    </row>
    <row r="35" spans="1:44" ht="14.25" customHeight="1" thickBot="1">
      <c r="A35" s="1043"/>
      <c r="B35" s="1052"/>
      <c r="C35" s="1046"/>
      <c r="D35" s="677"/>
      <c r="E35" s="677"/>
      <c r="F35" s="1044"/>
      <c r="G35" s="677"/>
      <c r="H35" s="677"/>
      <c r="I35" s="1045"/>
      <c r="J35" s="677"/>
      <c r="K35" s="677"/>
      <c r="L35" s="1045"/>
      <c r="M35" s="677"/>
      <c r="N35" s="677"/>
      <c r="O35" s="1045"/>
      <c r="P35" s="677"/>
      <c r="Q35" s="677"/>
      <c r="R35" s="616" t="s">
        <v>706</v>
      </c>
      <c r="S35" s="1048"/>
      <c r="T35" s="70"/>
      <c r="U35" s="1053"/>
      <c r="V35" s="1055"/>
      <c r="W35" s="1043"/>
      <c r="X35" s="1052"/>
      <c r="Y35" s="1046"/>
      <c r="Z35" s="677"/>
      <c r="AA35" s="677"/>
      <c r="AB35" s="1044"/>
      <c r="AC35" s="677"/>
      <c r="AD35" s="677"/>
      <c r="AE35" s="1045"/>
      <c r="AF35" s="677"/>
      <c r="AG35" s="677"/>
      <c r="AH35" s="1045"/>
      <c r="AI35" s="677"/>
      <c r="AJ35" s="677"/>
      <c r="AK35" s="1045"/>
      <c r="AL35" s="677"/>
      <c r="AM35" s="677"/>
      <c r="AN35" s="616" t="s">
        <v>706</v>
      </c>
      <c r="AO35" s="1048"/>
      <c r="AP35" s="70"/>
      <c r="AQ35" s="1053"/>
      <c r="AR35" s="1055"/>
    </row>
    <row r="36" spans="1:44" ht="14.25" customHeight="1" thickBot="1">
      <c r="A36" s="1036">
        <f ca="1">IF(Score!A36="", "",Score!A36 )</f>
        <v>17</v>
      </c>
      <c r="B36" s="1040"/>
      <c r="C36" s="1039" t="str">
        <f ca="1">IF(Score!B36="", "",Score!B36)</f>
        <v>80</v>
      </c>
      <c r="D36" s="678"/>
      <c r="E36" s="678"/>
      <c r="F36" s="1037" t="s">
        <v>219</v>
      </c>
      <c r="G36" s="678"/>
      <c r="H36" s="678"/>
      <c r="I36" s="1038" t="s">
        <v>221</v>
      </c>
      <c r="J36" s="678"/>
      <c r="K36" s="678"/>
      <c r="L36" s="1038" t="s">
        <v>43</v>
      </c>
      <c r="M36" s="678"/>
      <c r="N36" s="678"/>
      <c r="O36" s="1038" t="s">
        <v>57</v>
      </c>
      <c r="P36" s="678"/>
      <c r="Q36" s="678"/>
      <c r="R36" s="615" t="s">
        <v>705</v>
      </c>
      <c r="S36" s="1054">
        <f ca="1">IF(A36="", "", SUMIF(SK!B$3:B$78, ROW(), SK!D$3:D$78))</f>
        <v>4</v>
      </c>
      <c r="T36" s="70"/>
      <c r="U36" s="1053" t="str">
        <f ca="1">IF(IBRF!B27="","",IBRF!B27)</f>
        <v/>
      </c>
      <c r="V36" s="1055" t="str">
        <f ca="1">IF(IBRF!C27="","",IBRF!C27)</f>
        <v/>
      </c>
      <c r="W36" s="1036">
        <f ca="1">IF(Score!T36="", "",Score!T36 )</f>
        <v>17</v>
      </c>
      <c r="X36" s="1040"/>
      <c r="Y36" s="1039" t="str">
        <f ca="1">IF(Score!U36="", "",Score!U36)</f>
        <v>9.81</v>
      </c>
      <c r="Z36" s="678"/>
      <c r="AA36" s="678"/>
      <c r="AB36" s="1037" t="s">
        <v>113</v>
      </c>
      <c r="AC36" s="678"/>
      <c r="AD36" s="678"/>
      <c r="AE36" s="1038" t="s">
        <v>80</v>
      </c>
      <c r="AF36" s="678"/>
      <c r="AG36" s="678"/>
      <c r="AH36" s="1038" t="s">
        <v>366</v>
      </c>
      <c r="AI36" s="678"/>
      <c r="AJ36" s="678"/>
      <c r="AK36" s="1038" t="s">
        <v>362</v>
      </c>
      <c r="AL36" s="678" t="s">
        <v>124</v>
      </c>
      <c r="AM36" s="678" t="s">
        <v>126</v>
      </c>
      <c r="AN36" s="615" t="s">
        <v>705</v>
      </c>
      <c r="AO36" s="1054">
        <f ca="1">IF(W36="", "", SUMIF(SK!R$3:R$78, ROW(), SK!T$3:T$78))</f>
        <v>0</v>
      </c>
      <c r="AP36" s="70"/>
      <c r="AQ36" s="1053" t="str">
        <f ca="1">IF(IBRF!H27="","",IBRF!H27)</f>
        <v/>
      </c>
      <c r="AR36" s="1055" t="str">
        <f ca="1">IF(IBRF!I27="","",IBRF!I27)</f>
        <v/>
      </c>
    </row>
    <row r="37" spans="1:44" ht="14.25" customHeight="1" thickBot="1">
      <c r="A37" s="1036"/>
      <c r="B37" s="1041"/>
      <c r="C37" s="1039"/>
      <c r="D37" s="676"/>
      <c r="E37" s="676"/>
      <c r="F37" s="1037"/>
      <c r="G37" s="676"/>
      <c r="H37" s="676"/>
      <c r="I37" s="1038"/>
      <c r="J37" s="676"/>
      <c r="K37" s="676"/>
      <c r="L37" s="1038"/>
      <c r="M37" s="676"/>
      <c r="N37" s="676"/>
      <c r="O37" s="1038"/>
      <c r="P37" s="676"/>
      <c r="Q37" s="676"/>
      <c r="R37" s="616" t="s">
        <v>706</v>
      </c>
      <c r="S37" s="1054"/>
      <c r="T37" s="70"/>
      <c r="U37" s="1053"/>
      <c r="V37" s="1055"/>
      <c r="W37" s="1036"/>
      <c r="X37" s="1041"/>
      <c r="Y37" s="1039"/>
      <c r="Z37" s="676"/>
      <c r="AA37" s="676"/>
      <c r="AB37" s="1037"/>
      <c r="AC37" s="676"/>
      <c r="AD37" s="676"/>
      <c r="AE37" s="1038"/>
      <c r="AF37" s="676"/>
      <c r="AG37" s="676"/>
      <c r="AH37" s="1038"/>
      <c r="AI37" s="676"/>
      <c r="AJ37" s="676"/>
      <c r="AK37" s="1038"/>
      <c r="AL37" s="676"/>
      <c r="AM37" s="676"/>
      <c r="AN37" s="616" t="s">
        <v>706</v>
      </c>
      <c r="AO37" s="1054"/>
      <c r="AP37" s="70"/>
      <c r="AQ37" s="1053"/>
      <c r="AR37" s="1055"/>
    </row>
    <row r="38" spans="1:44" ht="14.25" customHeight="1" thickBot="1">
      <c r="A38" s="1043">
        <f ca="1">IF(Score!A38="", "",Score!A38 )</f>
        <v>18</v>
      </c>
      <c r="B38" s="1051"/>
      <c r="C38" s="1046" t="str">
        <f ca="1">IF(Score!B38="", "",Score!B38)</f>
        <v>428</v>
      </c>
      <c r="D38" s="675"/>
      <c r="E38" s="675"/>
      <c r="F38" s="1044" t="s">
        <v>51</v>
      </c>
      <c r="G38" s="675"/>
      <c r="H38" s="675"/>
      <c r="I38" s="1045" t="s">
        <v>47</v>
      </c>
      <c r="J38" s="675"/>
      <c r="K38" s="675"/>
      <c r="L38" s="1045" t="s">
        <v>55</v>
      </c>
      <c r="M38" s="675"/>
      <c r="N38" s="675"/>
      <c r="O38" s="1045" t="s">
        <v>41</v>
      </c>
      <c r="P38" s="675"/>
      <c r="Q38" s="675"/>
      <c r="R38" s="615" t="s">
        <v>705</v>
      </c>
      <c r="S38" s="1047">
        <f ca="1">IF(A38="", "", SUMIF(SK!B$3:B$78, ROW(), SK!D$3:D$78))</f>
        <v>0</v>
      </c>
      <c r="T38" s="70"/>
      <c r="U38" s="1053" t="str">
        <f ca="1">IF(IBRF!B28="","",IBRF!B28)</f>
        <v/>
      </c>
      <c r="V38" s="1055" t="str">
        <f ca="1">IF(IBRF!C28="","",IBRF!C28)</f>
        <v/>
      </c>
      <c r="W38" s="1043">
        <f ca="1">IF(Score!T38="", "",Score!T38 )</f>
        <v>18</v>
      </c>
      <c r="X38" s="1051"/>
      <c r="Y38" s="1046" t="str">
        <f ca="1">IF(Score!U38="", "",Score!U38)</f>
        <v>620</v>
      </c>
      <c r="Z38" s="675"/>
      <c r="AA38" s="675"/>
      <c r="AB38" s="1044" t="s">
        <v>78</v>
      </c>
      <c r="AC38" s="675"/>
      <c r="AD38" s="675"/>
      <c r="AE38" s="1045" t="s">
        <v>74</v>
      </c>
      <c r="AF38" s="675"/>
      <c r="AG38" s="675"/>
      <c r="AH38" s="1045" t="s">
        <v>125</v>
      </c>
      <c r="AI38" s="675"/>
      <c r="AJ38" s="675"/>
      <c r="AK38" s="1045" t="s">
        <v>237</v>
      </c>
      <c r="AL38" s="675"/>
      <c r="AM38" s="675"/>
      <c r="AN38" s="615" t="s">
        <v>705</v>
      </c>
      <c r="AO38" s="1047">
        <f ca="1">IF(W38="", "", SUMIF(SK!R$3:R$78, ROW(), SK!T$3:T$78))</f>
        <v>3</v>
      </c>
      <c r="AP38" s="70"/>
      <c r="AQ38" s="1053" t="str">
        <f ca="1">IF(IBRF!H28="","",IBRF!H28)</f>
        <v/>
      </c>
      <c r="AR38" s="1055" t="str">
        <f ca="1">IF(IBRF!I28="","",IBRF!I28)</f>
        <v/>
      </c>
    </row>
    <row r="39" spans="1:44" ht="14.25" customHeight="1" thickBot="1">
      <c r="A39" s="1043"/>
      <c r="B39" s="1052"/>
      <c r="C39" s="1046"/>
      <c r="D39" s="677"/>
      <c r="E39" s="677"/>
      <c r="F39" s="1044"/>
      <c r="G39" s="677"/>
      <c r="H39" s="677"/>
      <c r="I39" s="1045"/>
      <c r="J39" s="677"/>
      <c r="K39" s="677"/>
      <c r="L39" s="1045"/>
      <c r="M39" s="677"/>
      <c r="N39" s="677"/>
      <c r="O39" s="1045"/>
      <c r="P39" s="677"/>
      <c r="Q39" s="677"/>
      <c r="R39" s="616" t="s">
        <v>706</v>
      </c>
      <c r="S39" s="1048"/>
      <c r="T39" s="70"/>
      <c r="U39" s="1053"/>
      <c r="V39" s="1055"/>
      <c r="W39" s="1043"/>
      <c r="X39" s="1052"/>
      <c r="Y39" s="1046"/>
      <c r="Z39" s="677"/>
      <c r="AA39" s="677"/>
      <c r="AB39" s="1044"/>
      <c r="AC39" s="677"/>
      <c r="AD39" s="677"/>
      <c r="AE39" s="1045"/>
      <c r="AF39" s="677"/>
      <c r="AG39" s="677"/>
      <c r="AH39" s="1045"/>
      <c r="AI39" s="677"/>
      <c r="AJ39" s="677"/>
      <c r="AK39" s="1045"/>
      <c r="AL39" s="677"/>
      <c r="AM39" s="677"/>
      <c r="AN39" s="616" t="s">
        <v>706</v>
      </c>
      <c r="AO39" s="1048"/>
      <c r="AP39" s="70"/>
      <c r="AQ39" s="1053"/>
      <c r="AR39" s="1055"/>
    </row>
    <row r="40" spans="1:44" ht="14.25" customHeight="1" thickBot="1">
      <c r="A40" s="1036">
        <f ca="1">IF(Score!A40="", "",Score!A40 )</f>
        <v>19</v>
      </c>
      <c r="B40" s="1040"/>
      <c r="C40" s="1039" t="str">
        <f ca="1">IF(Score!B40="", "",Score!B40)</f>
        <v>728</v>
      </c>
      <c r="D40" s="678"/>
      <c r="E40" s="678"/>
      <c r="F40" s="1037" t="s">
        <v>219</v>
      </c>
      <c r="G40" s="678" t="s">
        <v>360</v>
      </c>
      <c r="H40" s="678"/>
      <c r="I40" s="1038" t="s">
        <v>49</v>
      </c>
      <c r="J40" s="678"/>
      <c r="K40" s="678"/>
      <c r="L40" s="1038" t="s">
        <v>57</v>
      </c>
      <c r="M40" s="678"/>
      <c r="N40" s="678"/>
      <c r="O40" s="1038" t="s">
        <v>45</v>
      </c>
      <c r="P40" s="678"/>
      <c r="Q40" s="678"/>
      <c r="R40" s="615" t="s">
        <v>705</v>
      </c>
      <c r="S40" s="1054">
        <f ca="1">IF(A40="", "", SUMIF(SK!B$3:B$78, ROW(), SK!D$3:D$78))</f>
        <v>2</v>
      </c>
      <c r="T40" s="70"/>
      <c r="U40" s="1053" t="str">
        <f ca="1">IF(IBRF!B29="","",IBRF!B29)</f>
        <v/>
      </c>
      <c r="V40" s="1055" t="str">
        <f ca="1">IF(IBRF!C29="","",IBRF!C29)</f>
        <v/>
      </c>
      <c r="W40" s="1036">
        <f ca="1">IF(Score!T40="", "",Score!T40 )</f>
        <v>19</v>
      </c>
      <c r="X40" s="1040"/>
      <c r="Y40" s="1039" t="str">
        <f ca="1">IF(Score!U40="", "",Score!U40)</f>
        <v>50</v>
      </c>
      <c r="Z40" s="678"/>
      <c r="AA40" s="678"/>
      <c r="AB40" s="1037" t="s">
        <v>113</v>
      </c>
      <c r="AC40" s="678"/>
      <c r="AD40" s="678"/>
      <c r="AE40" s="1038" t="s">
        <v>115</v>
      </c>
      <c r="AF40" s="678"/>
      <c r="AG40" s="678"/>
      <c r="AH40" s="1038" t="s">
        <v>80</v>
      </c>
      <c r="AI40" s="678"/>
      <c r="AJ40" s="678"/>
      <c r="AK40" s="1038" t="s">
        <v>366</v>
      </c>
      <c r="AL40" s="678"/>
      <c r="AM40" s="678"/>
      <c r="AN40" s="615" t="s">
        <v>705</v>
      </c>
      <c r="AO40" s="1054">
        <f ca="1">IF(W40="", "", SUMIF(SK!R$3:R$78, ROW(), SK!T$3:T$78))</f>
        <v>0</v>
      </c>
      <c r="AP40" s="70"/>
      <c r="AQ40" s="1053" t="str">
        <f ca="1">IF(IBRF!H29="","",IBRF!H29)</f>
        <v/>
      </c>
      <c r="AR40" s="1055" t="str">
        <f ca="1">IF(IBRF!I29="","",IBRF!I29)</f>
        <v/>
      </c>
    </row>
    <row r="41" spans="1:44" ht="14.25" customHeight="1" thickBot="1">
      <c r="A41" s="1036"/>
      <c r="B41" s="1041"/>
      <c r="C41" s="1039"/>
      <c r="D41" s="676"/>
      <c r="E41" s="676"/>
      <c r="F41" s="1037"/>
      <c r="G41" s="676"/>
      <c r="H41" s="676"/>
      <c r="I41" s="1038"/>
      <c r="J41" s="676"/>
      <c r="K41" s="676"/>
      <c r="L41" s="1038"/>
      <c r="M41" s="676"/>
      <c r="N41" s="676"/>
      <c r="O41" s="1038"/>
      <c r="P41" s="676"/>
      <c r="Q41" s="676"/>
      <c r="R41" s="616" t="s">
        <v>706</v>
      </c>
      <c r="S41" s="1054"/>
      <c r="T41" s="70"/>
      <c r="U41" s="1053"/>
      <c r="V41" s="1055"/>
      <c r="W41" s="1036"/>
      <c r="X41" s="1041"/>
      <c r="Y41" s="1039"/>
      <c r="Z41" s="676"/>
      <c r="AA41" s="676"/>
      <c r="AB41" s="1037"/>
      <c r="AC41" s="676"/>
      <c r="AD41" s="676"/>
      <c r="AE41" s="1038"/>
      <c r="AF41" s="676"/>
      <c r="AG41" s="676"/>
      <c r="AH41" s="1038"/>
      <c r="AI41" s="676"/>
      <c r="AJ41" s="676"/>
      <c r="AK41" s="1038"/>
      <c r="AL41" s="676"/>
      <c r="AM41" s="676"/>
      <c r="AN41" s="616" t="s">
        <v>706</v>
      </c>
      <c r="AO41" s="1054"/>
      <c r="AP41" s="70"/>
      <c r="AQ41" s="1053"/>
      <c r="AR41" s="1055"/>
    </row>
    <row r="42" spans="1:44" ht="14.25" customHeight="1" thickBot="1">
      <c r="A42" s="1043">
        <f ca="1">IF(Score!A42="", "",Score!A42 )</f>
        <v>20</v>
      </c>
      <c r="B42" s="1051"/>
      <c r="C42" s="1046" t="str">
        <f ca="1">IF(Score!B42="", "",Score!B42)</f>
        <v>20KN</v>
      </c>
      <c r="D42" s="675"/>
      <c r="E42" s="675"/>
      <c r="F42" s="1044" t="s">
        <v>219</v>
      </c>
      <c r="G42" s="675" t="s">
        <v>124</v>
      </c>
      <c r="H42" s="675" t="s">
        <v>126</v>
      </c>
      <c r="I42" s="1045" t="s">
        <v>47</v>
      </c>
      <c r="J42" s="675"/>
      <c r="K42" s="675"/>
      <c r="L42" s="1045" t="s">
        <v>41</v>
      </c>
      <c r="M42" s="675"/>
      <c r="N42" s="675"/>
      <c r="O42" s="1045" t="s">
        <v>223</v>
      </c>
      <c r="P42" s="675"/>
      <c r="Q42" s="675"/>
      <c r="R42" s="615" t="s">
        <v>705</v>
      </c>
      <c r="S42" s="1047">
        <f ca="1">IF(A42="", "", SUMIF(SK!B$3:B$78, ROW(), SK!D$3:D$78))</f>
        <v>0</v>
      </c>
      <c r="T42" s="70"/>
      <c r="U42" s="1053" t="str">
        <f ca="1">IF(IBRF!B30="","",IBRF!B30)</f>
        <v/>
      </c>
      <c r="V42" s="1055" t="str">
        <f ca="1">IF(IBRF!C30="","",IBRF!C30)</f>
        <v/>
      </c>
      <c r="W42" s="1043">
        <f ca="1">IF(Score!T42="", "",Score!T42 )</f>
        <v>20</v>
      </c>
      <c r="X42" s="1051"/>
      <c r="Y42" s="1046" t="str">
        <f ca="1">IF(Score!U42="", "",Score!U42)</f>
        <v>9.81</v>
      </c>
      <c r="Z42" s="675" t="s">
        <v>126</v>
      </c>
      <c r="AA42" s="675" t="s">
        <v>360</v>
      </c>
      <c r="AB42" s="1044" t="s">
        <v>78</v>
      </c>
      <c r="AC42" s="675"/>
      <c r="AD42" s="675"/>
      <c r="AE42" s="1045" t="s">
        <v>125</v>
      </c>
      <c r="AF42" s="675"/>
      <c r="AG42" s="675"/>
      <c r="AH42" s="1045" t="s">
        <v>364</v>
      </c>
      <c r="AI42" s="675"/>
      <c r="AJ42" s="675"/>
      <c r="AK42" s="1045" t="s">
        <v>72</v>
      </c>
      <c r="AL42" s="675" t="s">
        <v>126</v>
      </c>
      <c r="AM42" s="675"/>
      <c r="AN42" s="615" t="s">
        <v>705</v>
      </c>
      <c r="AO42" s="1047">
        <f ca="1">IF(W42="", "", SUMIF(SK!R$3:R$78, ROW(), SK!T$3:T$78))</f>
        <v>0</v>
      </c>
      <c r="AP42" s="70"/>
      <c r="AQ42" s="1053" t="str">
        <f ca="1">IF(IBRF!H30="","",IBRF!H30)</f>
        <v/>
      </c>
      <c r="AR42" s="1055" t="str">
        <f ca="1">IF(IBRF!I30="","",IBRF!I30)</f>
        <v/>
      </c>
    </row>
    <row r="43" spans="1:44" ht="14.25" customHeight="1" thickBot="1">
      <c r="A43" s="1043"/>
      <c r="B43" s="1052"/>
      <c r="C43" s="1046"/>
      <c r="D43" s="677"/>
      <c r="E43" s="677"/>
      <c r="F43" s="1044"/>
      <c r="G43" s="677"/>
      <c r="H43" s="677"/>
      <c r="I43" s="1045"/>
      <c r="J43" s="677"/>
      <c r="K43" s="677"/>
      <c r="L43" s="1045"/>
      <c r="M43" s="677"/>
      <c r="N43" s="677"/>
      <c r="O43" s="1045"/>
      <c r="P43" s="677"/>
      <c r="Q43" s="677"/>
      <c r="R43" s="616" t="s">
        <v>706</v>
      </c>
      <c r="S43" s="1048"/>
      <c r="T43" s="70"/>
      <c r="U43" s="1053"/>
      <c r="V43" s="1055"/>
      <c r="W43" s="1043"/>
      <c r="X43" s="1052"/>
      <c r="Y43" s="1046"/>
      <c r="Z43" s="677"/>
      <c r="AA43" s="677"/>
      <c r="AB43" s="1044"/>
      <c r="AC43" s="677"/>
      <c r="AD43" s="677"/>
      <c r="AE43" s="1045"/>
      <c r="AF43" s="677"/>
      <c r="AG43" s="677"/>
      <c r="AH43" s="1045"/>
      <c r="AI43" s="677"/>
      <c r="AJ43" s="677"/>
      <c r="AK43" s="1045"/>
      <c r="AL43" s="677"/>
      <c r="AM43" s="677"/>
      <c r="AN43" s="616" t="s">
        <v>706</v>
      </c>
      <c r="AO43" s="1048"/>
      <c r="AP43" s="70"/>
      <c r="AQ43" s="1053"/>
      <c r="AR43" s="1055"/>
    </row>
    <row r="44" spans="1:44" ht="14.25" customHeight="1" thickBot="1">
      <c r="A44" s="1036">
        <f ca="1">IF(Score!A44="", "",Score!A44 )</f>
        <v>21</v>
      </c>
      <c r="B44" s="1040"/>
      <c r="C44" s="1039" t="str">
        <f ca="1">IF(Score!B44="", "",Score!B44)</f>
        <v>33 1/3</v>
      </c>
      <c r="D44" s="678"/>
      <c r="E44" s="678"/>
      <c r="F44" s="1037" t="s">
        <v>219</v>
      </c>
      <c r="G44" s="678"/>
      <c r="H44" s="678"/>
      <c r="I44" s="1038" t="s">
        <v>221</v>
      </c>
      <c r="J44" s="678"/>
      <c r="K44" s="678"/>
      <c r="L44" s="1038" t="s">
        <v>43</v>
      </c>
      <c r="M44" s="678"/>
      <c r="N44" s="678"/>
      <c r="O44" s="1038" t="s">
        <v>227</v>
      </c>
      <c r="P44" s="678"/>
      <c r="Q44" s="678"/>
      <c r="R44" s="615" t="s">
        <v>705</v>
      </c>
      <c r="S44" s="1054">
        <f ca="1">IF(A44="", "", SUMIF(SK!B$3:B$78, ROW(), SK!D$3:D$78))</f>
        <v>10</v>
      </c>
      <c r="T44" s="70"/>
      <c r="U44" s="6"/>
      <c r="W44" s="1036">
        <f ca="1">IF(Score!T44="", "",Score!T44 )</f>
        <v>21</v>
      </c>
      <c r="X44" s="1040"/>
      <c r="Y44" s="1046" t="str">
        <f ca="1">IF(Score!U44="", "",Score!U44)</f>
        <v>24/7</v>
      </c>
      <c r="Z44" s="678" t="s">
        <v>128</v>
      </c>
      <c r="AA44" s="678" t="s">
        <v>701</v>
      </c>
      <c r="AB44" s="1037" t="s">
        <v>113</v>
      </c>
      <c r="AC44" s="678"/>
      <c r="AD44" s="678"/>
      <c r="AE44" s="1038" t="s">
        <v>80</v>
      </c>
      <c r="AF44" s="678"/>
      <c r="AG44" s="678"/>
      <c r="AH44" s="1038" t="s">
        <v>366</v>
      </c>
      <c r="AI44" s="678"/>
      <c r="AJ44" s="678"/>
      <c r="AK44" s="1038" t="s">
        <v>72</v>
      </c>
      <c r="AL44" s="678" t="s">
        <v>124</v>
      </c>
      <c r="AM44" s="678" t="s">
        <v>128</v>
      </c>
      <c r="AN44" s="615" t="s">
        <v>705</v>
      </c>
      <c r="AO44" s="1054">
        <f ca="1">IF(W44="", "", SUMIF(SK!R$3:R$78, ROW(), SK!T$3:T$78))</f>
        <v>1</v>
      </c>
      <c r="AP44" s="70"/>
      <c r="AQ44" s="6"/>
    </row>
    <row r="45" spans="1:44" ht="14.25" customHeight="1" thickBot="1">
      <c r="A45" s="1036"/>
      <c r="B45" s="1041"/>
      <c r="C45" s="1039"/>
      <c r="D45" s="676"/>
      <c r="E45" s="676"/>
      <c r="F45" s="1037"/>
      <c r="G45" s="676"/>
      <c r="H45" s="676"/>
      <c r="I45" s="1038"/>
      <c r="J45" s="676"/>
      <c r="K45" s="676"/>
      <c r="L45" s="1038"/>
      <c r="M45" s="676"/>
      <c r="N45" s="676"/>
      <c r="O45" s="1038"/>
      <c r="P45" s="676"/>
      <c r="Q45" s="676"/>
      <c r="R45" s="616" t="s">
        <v>706</v>
      </c>
      <c r="S45" s="1054"/>
      <c r="T45" s="70"/>
      <c r="U45" s="6"/>
      <c r="W45" s="1036"/>
      <c r="X45" s="1041"/>
      <c r="Y45" s="1046"/>
      <c r="Z45" s="676"/>
      <c r="AA45" s="676"/>
      <c r="AB45" s="1037"/>
      <c r="AC45" s="676"/>
      <c r="AD45" s="676"/>
      <c r="AE45" s="1038"/>
      <c r="AF45" s="676"/>
      <c r="AG45" s="676"/>
      <c r="AH45" s="1038"/>
      <c r="AI45" s="676"/>
      <c r="AJ45" s="676"/>
      <c r="AK45" s="1038"/>
      <c r="AL45" s="676"/>
      <c r="AM45" s="676"/>
      <c r="AN45" s="616" t="s">
        <v>706</v>
      </c>
      <c r="AO45" s="1054"/>
      <c r="AP45" s="70"/>
      <c r="AQ45" s="6"/>
    </row>
    <row r="46" spans="1:44" ht="14.25" customHeight="1" thickBot="1">
      <c r="A46" s="1043">
        <f ca="1">IF(Score!A46="", "",Score!A46 )</f>
        <v>22</v>
      </c>
      <c r="B46" s="1051"/>
      <c r="C46" s="1046" t="str">
        <f ca="1">IF(Score!B46="", "",Score!B46)</f>
        <v>428</v>
      </c>
      <c r="D46" s="675"/>
      <c r="E46" s="675"/>
      <c r="F46" s="1044" t="s">
        <v>51</v>
      </c>
      <c r="G46" s="675"/>
      <c r="H46" s="675"/>
      <c r="I46" s="1045" t="s">
        <v>55</v>
      </c>
      <c r="J46" s="675"/>
      <c r="K46" s="675"/>
      <c r="L46" s="1045" t="s">
        <v>45</v>
      </c>
      <c r="M46" s="675"/>
      <c r="N46" s="675"/>
      <c r="O46" s="1045" t="s">
        <v>49</v>
      </c>
      <c r="P46" s="675"/>
      <c r="Q46" s="675"/>
      <c r="R46" s="615" t="s">
        <v>705</v>
      </c>
      <c r="S46" s="1047">
        <f ca="1">IF(A46="", "", SUMIF(SK!B$3:B$78, ROW(), SK!D$3:D$78))</f>
        <v>4</v>
      </c>
      <c r="T46" s="70"/>
      <c r="U46" s="6"/>
      <c r="W46" s="1043">
        <f ca="1">IF(Score!T46="", "",Score!T46 )</f>
        <v>22</v>
      </c>
      <c r="X46" s="1051"/>
      <c r="Y46" s="1046" t="str">
        <f ca="1">IF(Score!U46="", "",Score!U46)</f>
        <v>620</v>
      </c>
      <c r="Z46" s="675"/>
      <c r="AA46" s="675"/>
      <c r="AB46" s="1044" t="s">
        <v>239</v>
      </c>
      <c r="AC46" s="675"/>
      <c r="AD46" s="675"/>
      <c r="AE46" s="1045" t="s">
        <v>125</v>
      </c>
      <c r="AF46" s="675"/>
      <c r="AG46" s="675"/>
      <c r="AH46" s="1045" t="s">
        <v>364</v>
      </c>
      <c r="AI46" s="675" t="s">
        <v>128</v>
      </c>
      <c r="AJ46" s="675"/>
      <c r="AK46" s="1045" t="s">
        <v>237</v>
      </c>
      <c r="AL46" s="675"/>
      <c r="AM46" s="675"/>
      <c r="AN46" s="615" t="s">
        <v>705</v>
      </c>
      <c r="AO46" s="1047">
        <f ca="1">IF(W46="", "", SUMIF(SK!R$3:R$78, ROW(), SK!T$3:T$78))</f>
        <v>0</v>
      </c>
      <c r="AP46" s="70"/>
      <c r="AQ46" s="6"/>
    </row>
    <row r="47" spans="1:44" ht="14.25" customHeight="1" thickBot="1">
      <c r="A47" s="1043"/>
      <c r="B47" s="1052"/>
      <c r="C47" s="1046"/>
      <c r="D47" s="677"/>
      <c r="E47" s="677"/>
      <c r="F47" s="1044"/>
      <c r="G47" s="677"/>
      <c r="H47" s="677"/>
      <c r="I47" s="1045"/>
      <c r="J47" s="677"/>
      <c r="K47" s="677"/>
      <c r="L47" s="1045"/>
      <c r="M47" s="677"/>
      <c r="N47" s="677"/>
      <c r="O47" s="1045"/>
      <c r="P47" s="677"/>
      <c r="Q47" s="677"/>
      <c r="R47" s="616" t="s">
        <v>706</v>
      </c>
      <c r="S47" s="1048"/>
      <c r="T47" s="70"/>
      <c r="U47" s="6"/>
      <c r="W47" s="1043"/>
      <c r="X47" s="1052"/>
      <c r="Y47" s="1046"/>
      <c r="Z47" s="677"/>
      <c r="AA47" s="677"/>
      <c r="AB47" s="1044"/>
      <c r="AC47" s="677"/>
      <c r="AD47" s="677"/>
      <c r="AE47" s="1045"/>
      <c r="AF47" s="677"/>
      <c r="AG47" s="677"/>
      <c r="AH47" s="1045"/>
      <c r="AI47" s="677"/>
      <c r="AJ47" s="677"/>
      <c r="AK47" s="1045"/>
      <c r="AL47" s="677"/>
      <c r="AM47" s="677"/>
      <c r="AN47" s="616" t="s">
        <v>706</v>
      </c>
      <c r="AO47" s="1048"/>
      <c r="AP47" s="70"/>
      <c r="AQ47" s="6"/>
    </row>
    <row r="48" spans="1:44" ht="14.25" customHeight="1" thickBot="1">
      <c r="A48" s="1036">
        <f ca="1">IF(Score!A48="", "",Score!A48 )</f>
        <v>23</v>
      </c>
      <c r="B48" s="1040"/>
      <c r="C48" s="1039" t="str">
        <f ca="1">IF(Score!B48="", "",Score!B48)</f>
        <v>80</v>
      </c>
      <c r="D48" s="678"/>
      <c r="E48" s="678"/>
      <c r="F48" s="1037" t="s">
        <v>57</v>
      </c>
      <c r="G48" s="678"/>
      <c r="H48" s="678"/>
      <c r="I48" s="1038" t="s">
        <v>43</v>
      </c>
      <c r="J48" s="678"/>
      <c r="K48" s="678"/>
      <c r="L48" s="1038" t="s">
        <v>41</v>
      </c>
      <c r="M48" s="678"/>
      <c r="N48" s="678"/>
      <c r="O48" s="1038" t="s">
        <v>221</v>
      </c>
      <c r="P48" s="678"/>
      <c r="Q48" s="678"/>
      <c r="R48" s="615" t="s">
        <v>705</v>
      </c>
      <c r="S48" s="1054">
        <f ca="1">IF(A48="", "", SUMIF(SK!B$3:B$78, ROW(), SK!D$3:D$78))</f>
        <v>4</v>
      </c>
      <c r="T48" s="70"/>
      <c r="U48" s="6"/>
      <c r="W48" s="1036">
        <f ca="1">IF(Score!T48="", "",Score!T48 )</f>
        <v>23</v>
      </c>
      <c r="X48" s="1040" t="s">
        <v>531</v>
      </c>
      <c r="Y48" s="1039" t="str">
        <f ca="1">IF(Score!U48="", "",Score!U48)</f>
        <v>9.81</v>
      </c>
      <c r="Z48" s="678"/>
      <c r="AA48" s="678"/>
      <c r="AB48" s="1037" t="s">
        <v>80</v>
      </c>
      <c r="AC48" s="678"/>
      <c r="AD48" s="678"/>
      <c r="AE48" s="1038" t="s">
        <v>78</v>
      </c>
      <c r="AF48" s="678"/>
      <c r="AG48" s="678"/>
      <c r="AH48" s="1038" t="s">
        <v>364</v>
      </c>
      <c r="AI48" s="678" t="s">
        <v>124</v>
      </c>
      <c r="AJ48" s="678"/>
      <c r="AK48" s="1038" t="s">
        <v>74</v>
      </c>
      <c r="AL48" s="678"/>
      <c r="AM48" s="678"/>
      <c r="AN48" s="615" t="s">
        <v>705</v>
      </c>
      <c r="AO48" s="1054">
        <f ca="1">IF(W48="", "", SUMIF(SK!R$3:R$78, ROW(), SK!T$3:T$78))</f>
        <v>0</v>
      </c>
      <c r="AP48" s="70"/>
      <c r="AQ48" s="6"/>
    </row>
    <row r="49" spans="1:43" ht="14.25" customHeight="1" thickBot="1">
      <c r="A49" s="1036"/>
      <c r="B49" s="1041"/>
      <c r="C49" s="1039"/>
      <c r="D49" s="676"/>
      <c r="E49" s="676"/>
      <c r="F49" s="1037"/>
      <c r="G49" s="676"/>
      <c r="H49" s="676"/>
      <c r="I49" s="1038"/>
      <c r="J49" s="676"/>
      <c r="K49" s="676"/>
      <c r="L49" s="1038"/>
      <c r="M49" s="676"/>
      <c r="N49" s="676"/>
      <c r="O49" s="1038"/>
      <c r="P49" s="676"/>
      <c r="Q49" s="676"/>
      <c r="R49" s="616" t="s">
        <v>706</v>
      </c>
      <c r="S49" s="1054"/>
      <c r="T49" s="70"/>
      <c r="U49" s="6"/>
      <c r="W49" s="1036"/>
      <c r="X49" s="1041"/>
      <c r="Y49" s="1039"/>
      <c r="Z49" s="676"/>
      <c r="AA49" s="676"/>
      <c r="AB49" s="1037"/>
      <c r="AC49" s="676"/>
      <c r="AD49" s="676"/>
      <c r="AE49" s="1038"/>
      <c r="AF49" s="676"/>
      <c r="AG49" s="676"/>
      <c r="AH49" s="1038"/>
      <c r="AI49" s="676"/>
      <c r="AJ49" s="676"/>
      <c r="AK49" s="1038"/>
      <c r="AL49" s="676"/>
      <c r="AM49" s="676"/>
      <c r="AN49" s="616" t="s">
        <v>706</v>
      </c>
      <c r="AO49" s="1054"/>
      <c r="AP49" s="70"/>
      <c r="AQ49" s="6"/>
    </row>
    <row r="50" spans="1:43" ht="14.25" customHeight="1" thickBot="1">
      <c r="A50" s="1043">
        <f ca="1">IF(Score!A50="", "",Score!A50 )</f>
        <v>24</v>
      </c>
      <c r="B50" s="1051"/>
      <c r="C50" s="1046" t="str">
        <f ca="1">IF(Score!B50="", "",Score!B50)</f>
        <v>20KN</v>
      </c>
      <c r="D50" s="675" t="s">
        <v>126</v>
      </c>
      <c r="E50" s="675" t="s">
        <v>360</v>
      </c>
      <c r="F50" s="1044" t="s">
        <v>59</v>
      </c>
      <c r="G50" s="675"/>
      <c r="H50" s="675"/>
      <c r="I50" s="1045" t="s">
        <v>55</v>
      </c>
      <c r="J50" s="675" t="s">
        <v>360</v>
      </c>
      <c r="K50" s="675"/>
      <c r="L50" s="1045" t="s">
        <v>227</v>
      </c>
      <c r="M50" s="675"/>
      <c r="N50" s="675"/>
      <c r="O50" s="1045" t="s">
        <v>47</v>
      </c>
      <c r="P50" s="675"/>
      <c r="Q50" s="675"/>
      <c r="R50" s="615" t="s">
        <v>705</v>
      </c>
      <c r="S50" s="1047">
        <f ca="1">IF(A50="", "", SUMIF(SK!B$3:B$78, ROW(), SK!D$3:D$78))</f>
        <v>10</v>
      </c>
      <c r="T50" s="70"/>
      <c r="U50" s="6"/>
      <c r="W50" s="1043">
        <f ca="1">IF(Score!T50="", "",Score!T50 )</f>
        <v>24</v>
      </c>
      <c r="X50" s="1051"/>
      <c r="Y50" s="1046" t="str">
        <f ca="1">IF(Score!U50="", "",Score!U50)</f>
        <v>42</v>
      </c>
      <c r="Z50" s="675" t="s">
        <v>360</v>
      </c>
      <c r="AA50" s="675" t="s">
        <v>360</v>
      </c>
      <c r="AB50" s="1044" t="s">
        <v>113</v>
      </c>
      <c r="AC50" s="675"/>
      <c r="AD50" s="675"/>
      <c r="AE50" s="1045" t="s">
        <v>72</v>
      </c>
      <c r="AF50" s="675"/>
      <c r="AG50" s="675"/>
      <c r="AH50" s="1045" t="s">
        <v>364</v>
      </c>
      <c r="AI50" s="675" t="s">
        <v>124</v>
      </c>
      <c r="AJ50" s="675" t="s">
        <v>360</v>
      </c>
      <c r="AK50" s="1045" t="s">
        <v>358</v>
      </c>
      <c r="AL50" s="675" t="s">
        <v>127</v>
      </c>
      <c r="AM50" s="675"/>
      <c r="AN50" s="615" t="s">
        <v>705</v>
      </c>
      <c r="AO50" s="1047">
        <f ca="1">IF(W50="", "", SUMIF(SK!R$3:R$78, ROW(), SK!T$3:T$78))</f>
        <v>4</v>
      </c>
      <c r="AP50" s="70"/>
      <c r="AQ50" s="6"/>
    </row>
    <row r="51" spans="1:43" ht="14.25" customHeight="1" thickBot="1">
      <c r="A51" s="1043"/>
      <c r="B51" s="1052"/>
      <c r="C51" s="1046"/>
      <c r="D51" s="677"/>
      <c r="E51" s="677"/>
      <c r="F51" s="1044"/>
      <c r="G51" s="677"/>
      <c r="H51" s="677"/>
      <c r="I51" s="1045"/>
      <c r="J51" s="677"/>
      <c r="K51" s="677"/>
      <c r="L51" s="1045"/>
      <c r="M51" s="677"/>
      <c r="N51" s="677"/>
      <c r="O51" s="1045"/>
      <c r="P51" s="677"/>
      <c r="Q51" s="677"/>
      <c r="R51" s="616" t="s">
        <v>706</v>
      </c>
      <c r="S51" s="1048"/>
      <c r="T51" s="70"/>
      <c r="U51" s="6"/>
      <c r="W51" s="1043"/>
      <c r="X51" s="1052"/>
      <c r="Y51" s="1046"/>
      <c r="Z51" s="677"/>
      <c r="AA51" s="677"/>
      <c r="AB51" s="1044"/>
      <c r="AC51" s="677"/>
      <c r="AD51" s="677"/>
      <c r="AE51" s="1045"/>
      <c r="AF51" s="677"/>
      <c r="AG51" s="677"/>
      <c r="AH51" s="1045"/>
      <c r="AI51" s="677"/>
      <c r="AJ51" s="677"/>
      <c r="AK51" s="1045"/>
      <c r="AL51" s="677"/>
      <c r="AM51" s="677"/>
      <c r="AN51" s="616" t="s">
        <v>706</v>
      </c>
      <c r="AO51" s="1048"/>
      <c r="AP51" s="70"/>
      <c r="AQ51" s="6"/>
    </row>
    <row r="52" spans="1:43" ht="14.25" customHeight="1" thickBot="1">
      <c r="A52" s="1036" t="str">
        <f ca="1">IF(Score!A52="", "",Score!A52 )</f>
        <v/>
      </c>
      <c r="B52" s="1040"/>
      <c r="C52" s="1039" t="str">
        <f ca="1">IF(Score!B52="", "",Score!B52)</f>
        <v/>
      </c>
      <c r="D52" s="678"/>
      <c r="E52" s="678"/>
      <c r="F52" s="1037"/>
      <c r="G52" s="678"/>
      <c r="H52" s="678"/>
      <c r="I52" s="1038"/>
      <c r="J52" s="678"/>
      <c r="K52" s="678"/>
      <c r="L52" s="1038"/>
      <c r="M52" s="678"/>
      <c r="N52" s="678"/>
      <c r="O52" s="1038"/>
      <c r="P52" s="678"/>
      <c r="Q52" s="678"/>
      <c r="R52" s="615" t="s">
        <v>705</v>
      </c>
      <c r="S52" s="1054" t="str">
        <f ca="1">IF(A52="", "", SUMIF(SK!B$3:B$78, ROW(), SK!D$3:D$78))</f>
        <v/>
      </c>
      <c r="T52" s="70"/>
      <c r="U52" s="6"/>
      <c r="W52" s="1036" t="str">
        <f ca="1">IF(Score!T52="", "",Score!T52 )</f>
        <v/>
      </c>
      <c r="X52" s="1040"/>
      <c r="Y52" s="1039" t="str">
        <f ca="1">IF(Score!U52="", "",Score!U52)</f>
        <v/>
      </c>
      <c r="Z52" s="678"/>
      <c r="AA52" s="678"/>
      <c r="AB52" s="1037"/>
      <c r="AC52" s="678"/>
      <c r="AD52" s="678"/>
      <c r="AE52" s="1038"/>
      <c r="AF52" s="678"/>
      <c r="AG52" s="678"/>
      <c r="AH52" s="1038"/>
      <c r="AI52" s="678"/>
      <c r="AJ52" s="678"/>
      <c r="AK52" s="1038"/>
      <c r="AL52" s="678"/>
      <c r="AM52" s="678"/>
      <c r="AN52" s="615" t="s">
        <v>705</v>
      </c>
      <c r="AO52" s="1054" t="str">
        <f ca="1">IF(W52="", "", SUMIF(SK!R$3:R$78, ROW(), SK!T$3:T$78))</f>
        <v/>
      </c>
      <c r="AP52" s="70"/>
      <c r="AQ52" s="6"/>
    </row>
    <row r="53" spans="1:43" ht="14.25" customHeight="1" thickBot="1">
      <c r="A53" s="1036"/>
      <c r="B53" s="1041"/>
      <c r="C53" s="1039"/>
      <c r="D53" s="676"/>
      <c r="E53" s="676"/>
      <c r="F53" s="1037"/>
      <c r="G53" s="676"/>
      <c r="H53" s="676"/>
      <c r="I53" s="1038"/>
      <c r="J53" s="676"/>
      <c r="K53" s="676"/>
      <c r="L53" s="1038"/>
      <c r="M53" s="676"/>
      <c r="N53" s="676"/>
      <c r="O53" s="1038"/>
      <c r="P53" s="676"/>
      <c r="Q53" s="676"/>
      <c r="R53" s="616" t="s">
        <v>706</v>
      </c>
      <c r="S53" s="1054"/>
      <c r="T53" s="70"/>
      <c r="U53" s="6"/>
      <c r="W53" s="1036"/>
      <c r="X53" s="1041"/>
      <c r="Y53" s="1039"/>
      <c r="Z53" s="676"/>
      <c r="AA53" s="676"/>
      <c r="AB53" s="1037"/>
      <c r="AC53" s="676"/>
      <c r="AD53" s="676"/>
      <c r="AE53" s="1038"/>
      <c r="AF53" s="676"/>
      <c r="AG53" s="676"/>
      <c r="AH53" s="1038"/>
      <c r="AI53" s="676"/>
      <c r="AJ53" s="676"/>
      <c r="AK53" s="1038"/>
      <c r="AL53" s="676"/>
      <c r="AM53" s="676"/>
      <c r="AN53" s="616" t="s">
        <v>706</v>
      </c>
      <c r="AO53" s="1054"/>
      <c r="AP53" s="70"/>
      <c r="AQ53" s="6"/>
    </row>
    <row r="54" spans="1:43" ht="14.25" customHeight="1" thickBot="1">
      <c r="A54" s="1043" t="str">
        <f ca="1">IF(Score!A54="", "",Score!A54 )</f>
        <v/>
      </c>
      <c r="B54" s="1051"/>
      <c r="C54" s="1046" t="str">
        <f ca="1">IF(Score!B54="", "",Score!B54)</f>
        <v/>
      </c>
      <c r="D54" s="675"/>
      <c r="E54" s="675"/>
      <c r="F54" s="1044"/>
      <c r="G54" s="675"/>
      <c r="H54" s="675"/>
      <c r="I54" s="1045"/>
      <c r="J54" s="675"/>
      <c r="K54" s="675"/>
      <c r="L54" s="1045"/>
      <c r="M54" s="675"/>
      <c r="N54" s="675"/>
      <c r="O54" s="1045"/>
      <c r="P54" s="675"/>
      <c r="Q54" s="675"/>
      <c r="R54" s="615" t="s">
        <v>705</v>
      </c>
      <c r="S54" s="1047" t="str">
        <f ca="1">IF(A54="", "", SUMIF(SK!B$3:B$78, ROW(), SK!D$3:D$78))</f>
        <v/>
      </c>
      <c r="T54" s="70"/>
      <c r="U54" s="6"/>
      <c r="W54" s="1043" t="str">
        <f ca="1">IF(Score!T54="", "",Score!T54 )</f>
        <v/>
      </c>
      <c r="X54" s="1051"/>
      <c r="Y54" s="1046" t="str">
        <f ca="1">IF(Score!U54="", "",Score!U54)</f>
        <v/>
      </c>
      <c r="Z54" s="675"/>
      <c r="AA54" s="675"/>
      <c r="AB54" s="1044"/>
      <c r="AC54" s="675"/>
      <c r="AD54" s="675"/>
      <c r="AE54" s="1045"/>
      <c r="AF54" s="675"/>
      <c r="AG54" s="675"/>
      <c r="AH54" s="1045"/>
      <c r="AI54" s="675"/>
      <c r="AJ54" s="675"/>
      <c r="AK54" s="1045"/>
      <c r="AL54" s="675"/>
      <c r="AM54" s="675"/>
      <c r="AN54" s="615" t="s">
        <v>705</v>
      </c>
      <c r="AO54" s="1047" t="str">
        <f ca="1">IF(W54="", "", SUMIF(SK!R$3:R$78, ROW(), SK!T$3:T$78))</f>
        <v/>
      </c>
      <c r="AP54" s="70"/>
      <c r="AQ54" s="6"/>
    </row>
    <row r="55" spans="1:43" ht="14.25" customHeight="1" thickBot="1">
      <c r="A55" s="1043"/>
      <c r="B55" s="1052"/>
      <c r="C55" s="1046"/>
      <c r="D55" s="677"/>
      <c r="E55" s="677"/>
      <c r="F55" s="1044"/>
      <c r="G55" s="677"/>
      <c r="H55" s="677"/>
      <c r="I55" s="1045"/>
      <c r="J55" s="677"/>
      <c r="K55" s="677"/>
      <c r="L55" s="1045"/>
      <c r="M55" s="677"/>
      <c r="N55" s="677"/>
      <c r="O55" s="1045"/>
      <c r="P55" s="677"/>
      <c r="Q55" s="677"/>
      <c r="R55" s="616" t="s">
        <v>706</v>
      </c>
      <c r="S55" s="1048"/>
      <c r="T55" s="70"/>
      <c r="U55" s="6"/>
      <c r="W55" s="1043"/>
      <c r="X55" s="1052"/>
      <c r="Y55" s="1046"/>
      <c r="Z55" s="677"/>
      <c r="AA55" s="677"/>
      <c r="AB55" s="1044"/>
      <c r="AC55" s="677"/>
      <c r="AD55" s="677"/>
      <c r="AE55" s="1045"/>
      <c r="AF55" s="677"/>
      <c r="AG55" s="677"/>
      <c r="AH55" s="1045"/>
      <c r="AI55" s="677"/>
      <c r="AJ55" s="677"/>
      <c r="AK55" s="1045"/>
      <c r="AL55" s="677"/>
      <c r="AM55" s="677"/>
      <c r="AN55" s="616" t="s">
        <v>706</v>
      </c>
      <c r="AO55" s="1048"/>
      <c r="AP55" s="70"/>
      <c r="AQ55" s="6"/>
    </row>
    <row r="56" spans="1:43" ht="14.25" customHeight="1" thickBot="1">
      <c r="A56" s="1036" t="str">
        <f ca="1">IF(Score!A56="", "",Score!A56 )</f>
        <v/>
      </c>
      <c r="B56" s="1040"/>
      <c r="C56" s="1039" t="str">
        <f ca="1">IF(Score!B56="", "",Score!B56)</f>
        <v/>
      </c>
      <c r="D56" s="678"/>
      <c r="E56" s="678"/>
      <c r="F56" s="1037"/>
      <c r="G56" s="678"/>
      <c r="H56" s="678"/>
      <c r="I56" s="1038"/>
      <c r="J56" s="678"/>
      <c r="K56" s="678"/>
      <c r="L56" s="1038"/>
      <c r="M56" s="678"/>
      <c r="N56" s="678"/>
      <c r="O56" s="1038"/>
      <c r="P56" s="678"/>
      <c r="Q56" s="678"/>
      <c r="R56" s="615" t="s">
        <v>705</v>
      </c>
      <c r="S56" s="1054" t="str">
        <f ca="1">IF(A56="", "", SUMIF(SK!B$3:B$78, ROW(), SK!D$3:D$78))</f>
        <v/>
      </c>
      <c r="T56" s="70"/>
      <c r="U56" s="6"/>
      <c r="W56" s="1036" t="str">
        <f ca="1">IF(Score!T56="", "",Score!T56 )</f>
        <v/>
      </c>
      <c r="X56" s="1040"/>
      <c r="Y56" s="1039" t="str">
        <f ca="1">IF(Score!U56="", "",Score!U56)</f>
        <v/>
      </c>
      <c r="Z56" s="678"/>
      <c r="AA56" s="678"/>
      <c r="AB56" s="1037"/>
      <c r="AC56" s="678"/>
      <c r="AD56" s="678"/>
      <c r="AE56" s="1038"/>
      <c r="AF56" s="678"/>
      <c r="AG56" s="678"/>
      <c r="AH56" s="1038"/>
      <c r="AI56" s="678"/>
      <c r="AJ56" s="678"/>
      <c r="AK56" s="1038"/>
      <c r="AL56" s="678"/>
      <c r="AM56" s="678"/>
      <c r="AN56" s="615" t="s">
        <v>705</v>
      </c>
      <c r="AO56" s="1054" t="str">
        <f ca="1">IF(W56="", "", SUMIF(SK!R$3:R$78, ROW(), SK!T$3:T$78))</f>
        <v/>
      </c>
      <c r="AP56" s="70"/>
      <c r="AQ56" s="6"/>
    </row>
    <row r="57" spans="1:43" ht="14.25" customHeight="1" thickBot="1">
      <c r="A57" s="1036"/>
      <c r="B57" s="1041"/>
      <c r="C57" s="1039"/>
      <c r="D57" s="676"/>
      <c r="E57" s="676"/>
      <c r="F57" s="1037"/>
      <c r="G57" s="676"/>
      <c r="H57" s="676"/>
      <c r="I57" s="1038"/>
      <c r="J57" s="676"/>
      <c r="K57" s="676"/>
      <c r="L57" s="1038"/>
      <c r="M57" s="676"/>
      <c r="N57" s="676"/>
      <c r="O57" s="1038"/>
      <c r="P57" s="676"/>
      <c r="Q57" s="676"/>
      <c r="R57" s="616" t="s">
        <v>706</v>
      </c>
      <c r="S57" s="1054"/>
      <c r="T57" s="70"/>
      <c r="U57" s="6"/>
      <c r="W57" s="1036"/>
      <c r="X57" s="1041"/>
      <c r="Y57" s="1039"/>
      <c r="Z57" s="676"/>
      <c r="AA57" s="676"/>
      <c r="AB57" s="1037"/>
      <c r="AC57" s="676"/>
      <c r="AD57" s="676"/>
      <c r="AE57" s="1038"/>
      <c r="AF57" s="676"/>
      <c r="AG57" s="676"/>
      <c r="AH57" s="1038"/>
      <c r="AI57" s="676"/>
      <c r="AJ57" s="676"/>
      <c r="AK57" s="1038"/>
      <c r="AL57" s="676"/>
      <c r="AM57" s="676"/>
      <c r="AN57" s="616" t="s">
        <v>706</v>
      </c>
      <c r="AO57" s="1054"/>
      <c r="AP57" s="70"/>
      <c r="AQ57" s="6"/>
    </row>
    <row r="58" spans="1:43" ht="14.25" customHeight="1" thickBot="1">
      <c r="A58" s="1043" t="str">
        <f ca="1">IF(Score!A58="", "",Score!A58 )</f>
        <v/>
      </c>
      <c r="B58" s="1051"/>
      <c r="C58" s="1046" t="str">
        <f ca="1">IF(Score!B58="", "",Score!B58)</f>
        <v/>
      </c>
      <c r="D58" s="675"/>
      <c r="E58" s="675"/>
      <c r="F58" s="1044"/>
      <c r="G58" s="675"/>
      <c r="H58" s="675"/>
      <c r="I58" s="1045"/>
      <c r="J58" s="675"/>
      <c r="K58" s="675"/>
      <c r="L58" s="1045"/>
      <c r="M58" s="675"/>
      <c r="N58" s="675"/>
      <c r="O58" s="1045"/>
      <c r="P58" s="675"/>
      <c r="Q58" s="675"/>
      <c r="R58" s="615" t="s">
        <v>705</v>
      </c>
      <c r="S58" s="1047" t="str">
        <f ca="1">IF(A58="", "", SUMIF(SK!B$3:B$78, ROW(), SK!D$3:D$78))</f>
        <v/>
      </c>
      <c r="T58" s="70"/>
      <c r="U58" s="6"/>
      <c r="W58" s="1043" t="str">
        <f ca="1">IF(Score!T58="", "",Score!T58 )</f>
        <v/>
      </c>
      <c r="X58" s="1051"/>
      <c r="Y58" s="1046" t="str">
        <f ca="1">IF(Score!U58="", "",Score!U58)</f>
        <v/>
      </c>
      <c r="Z58" s="675"/>
      <c r="AA58" s="675"/>
      <c r="AB58" s="1044"/>
      <c r="AC58" s="675"/>
      <c r="AD58" s="675"/>
      <c r="AE58" s="1045"/>
      <c r="AF58" s="675"/>
      <c r="AG58" s="675"/>
      <c r="AH58" s="1045"/>
      <c r="AI58" s="675"/>
      <c r="AJ58" s="675"/>
      <c r="AK58" s="1045"/>
      <c r="AL58" s="675"/>
      <c r="AM58" s="675"/>
      <c r="AN58" s="615" t="s">
        <v>705</v>
      </c>
      <c r="AO58" s="1047" t="str">
        <f ca="1">IF(W58="", "", SUMIF(SK!R$3:R$78, ROW(), SK!T$3:T$78))</f>
        <v/>
      </c>
      <c r="AP58" s="70"/>
      <c r="AQ58" s="6"/>
    </row>
    <row r="59" spans="1:43" ht="14.25" customHeight="1" thickBot="1">
      <c r="A59" s="1043"/>
      <c r="B59" s="1052"/>
      <c r="C59" s="1046"/>
      <c r="D59" s="677"/>
      <c r="E59" s="677"/>
      <c r="F59" s="1044"/>
      <c r="G59" s="677"/>
      <c r="H59" s="677"/>
      <c r="I59" s="1045"/>
      <c r="J59" s="677"/>
      <c r="K59" s="677"/>
      <c r="L59" s="1045"/>
      <c r="M59" s="677"/>
      <c r="N59" s="677"/>
      <c r="O59" s="1045"/>
      <c r="P59" s="677"/>
      <c r="Q59" s="677"/>
      <c r="R59" s="616" t="s">
        <v>706</v>
      </c>
      <c r="S59" s="1048"/>
      <c r="T59" s="70"/>
      <c r="U59" s="6"/>
      <c r="W59" s="1043"/>
      <c r="X59" s="1052"/>
      <c r="Y59" s="1046"/>
      <c r="Z59" s="677"/>
      <c r="AA59" s="677"/>
      <c r="AB59" s="1044"/>
      <c r="AC59" s="677"/>
      <c r="AD59" s="677"/>
      <c r="AE59" s="1045"/>
      <c r="AF59" s="677"/>
      <c r="AG59" s="677"/>
      <c r="AH59" s="1045"/>
      <c r="AI59" s="677"/>
      <c r="AJ59" s="677"/>
      <c r="AK59" s="1045"/>
      <c r="AL59" s="677"/>
      <c r="AM59" s="677"/>
      <c r="AN59" s="616" t="s">
        <v>706</v>
      </c>
      <c r="AO59" s="1048"/>
      <c r="AP59" s="70"/>
      <c r="AQ59" s="6"/>
    </row>
    <row r="60" spans="1:43" ht="14.25" customHeight="1" thickBot="1">
      <c r="A60" s="1036" t="str">
        <f ca="1">IF(Score!A60="", "",Score!A60 )</f>
        <v/>
      </c>
      <c r="B60" s="1040"/>
      <c r="C60" s="1039" t="str">
        <f ca="1">IF(Score!B60="", "",Score!B60)</f>
        <v/>
      </c>
      <c r="D60" s="678"/>
      <c r="E60" s="678"/>
      <c r="F60" s="1037"/>
      <c r="G60" s="678"/>
      <c r="H60" s="678"/>
      <c r="I60" s="1038"/>
      <c r="J60" s="678"/>
      <c r="K60" s="678"/>
      <c r="L60" s="1038"/>
      <c r="M60" s="678"/>
      <c r="N60" s="678"/>
      <c r="O60" s="1038"/>
      <c r="P60" s="678"/>
      <c r="Q60" s="678"/>
      <c r="R60" s="615" t="s">
        <v>705</v>
      </c>
      <c r="S60" s="1054" t="str">
        <f ca="1">IF(A60="", "", SUMIF(SK!B$3:B$78, ROW(), SK!D$3:D$78))</f>
        <v/>
      </c>
      <c r="T60" s="70"/>
      <c r="U60" s="6"/>
      <c r="W60" s="1036" t="str">
        <f ca="1">IF(Score!T60="", "",Score!T60 )</f>
        <v/>
      </c>
      <c r="X60" s="1040"/>
      <c r="Y60" s="1039" t="str">
        <f ca="1">IF(Score!U60="", "",Score!U60)</f>
        <v/>
      </c>
      <c r="Z60" s="678"/>
      <c r="AA60" s="678"/>
      <c r="AB60" s="1037"/>
      <c r="AC60" s="678"/>
      <c r="AD60" s="678"/>
      <c r="AE60" s="1038"/>
      <c r="AF60" s="678"/>
      <c r="AG60" s="678"/>
      <c r="AH60" s="1038"/>
      <c r="AI60" s="678"/>
      <c r="AJ60" s="678"/>
      <c r="AK60" s="1038"/>
      <c r="AL60" s="678"/>
      <c r="AM60" s="678"/>
      <c r="AN60" s="615" t="s">
        <v>705</v>
      </c>
      <c r="AO60" s="1054" t="str">
        <f ca="1">IF(W60="", "", SUMIF(SK!R$3:R$78, ROW(), SK!T$3:T$78))</f>
        <v/>
      </c>
      <c r="AP60" s="70"/>
      <c r="AQ60" s="6"/>
    </row>
    <row r="61" spans="1:43" ht="14.25" customHeight="1" thickBot="1">
      <c r="A61" s="1036"/>
      <c r="B61" s="1041"/>
      <c r="C61" s="1039"/>
      <c r="D61" s="676"/>
      <c r="E61" s="676"/>
      <c r="F61" s="1037"/>
      <c r="G61" s="676"/>
      <c r="H61" s="676"/>
      <c r="I61" s="1038"/>
      <c r="J61" s="676"/>
      <c r="K61" s="676"/>
      <c r="L61" s="1038"/>
      <c r="M61" s="676"/>
      <c r="N61" s="676"/>
      <c r="O61" s="1038"/>
      <c r="P61" s="676"/>
      <c r="Q61" s="676"/>
      <c r="R61" s="616" t="s">
        <v>706</v>
      </c>
      <c r="S61" s="1054"/>
      <c r="T61" s="70"/>
      <c r="U61" s="6"/>
      <c r="W61" s="1036"/>
      <c r="X61" s="1041"/>
      <c r="Y61" s="1039"/>
      <c r="Z61" s="676"/>
      <c r="AA61" s="676"/>
      <c r="AB61" s="1037"/>
      <c r="AC61" s="676"/>
      <c r="AD61" s="676"/>
      <c r="AE61" s="1038"/>
      <c r="AF61" s="676"/>
      <c r="AG61" s="676"/>
      <c r="AH61" s="1038"/>
      <c r="AI61" s="676"/>
      <c r="AJ61" s="676"/>
      <c r="AK61" s="1038"/>
      <c r="AL61" s="676"/>
      <c r="AM61" s="676"/>
      <c r="AN61" s="616" t="s">
        <v>706</v>
      </c>
      <c r="AO61" s="1054"/>
      <c r="AP61" s="70"/>
      <c r="AQ61" s="6"/>
    </row>
    <row r="62" spans="1:43" ht="14.25" customHeight="1" thickBot="1">
      <c r="A62" s="1043" t="str">
        <f ca="1">IF(Score!A62="", "",Score!A62 )</f>
        <v/>
      </c>
      <c r="B62" s="1051"/>
      <c r="C62" s="1046" t="str">
        <f ca="1">IF(Score!B62="", "",Score!B62)</f>
        <v/>
      </c>
      <c r="D62" s="675"/>
      <c r="E62" s="675"/>
      <c r="F62" s="1044"/>
      <c r="G62" s="675"/>
      <c r="H62" s="675"/>
      <c r="I62" s="1045"/>
      <c r="J62" s="675"/>
      <c r="K62" s="675"/>
      <c r="L62" s="1045"/>
      <c r="M62" s="675"/>
      <c r="N62" s="675"/>
      <c r="O62" s="1045"/>
      <c r="P62" s="675"/>
      <c r="Q62" s="675"/>
      <c r="R62" s="615" t="s">
        <v>705</v>
      </c>
      <c r="S62" s="1047" t="str">
        <f ca="1">IF(A62="", "", SUMIF(SK!B$3:B$78, ROW(), SK!D$3:D$78))</f>
        <v/>
      </c>
      <c r="T62" s="70"/>
      <c r="U62" s="6"/>
      <c r="W62" s="1043" t="str">
        <f ca="1">IF(Score!T62="", "",Score!T62 )</f>
        <v/>
      </c>
      <c r="X62" s="1051"/>
      <c r="Y62" s="1046" t="str">
        <f ca="1">IF(Score!U62="", "",Score!U62)</f>
        <v/>
      </c>
      <c r="Z62" s="675"/>
      <c r="AA62" s="675"/>
      <c r="AB62" s="1044"/>
      <c r="AC62" s="675"/>
      <c r="AD62" s="675"/>
      <c r="AE62" s="1045"/>
      <c r="AF62" s="675"/>
      <c r="AG62" s="675"/>
      <c r="AH62" s="1045"/>
      <c r="AI62" s="675"/>
      <c r="AJ62" s="675"/>
      <c r="AK62" s="1045"/>
      <c r="AL62" s="675"/>
      <c r="AM62" s="675"/>
      <c r="AN62" s="615" t="s">
        <v>705</v>
      </c>
      <c r="AO62" s="1047" t="str">
        <f ca="1">IF(W62="", "", SUMIF(SK!R$3:R$78, ROW(), SK!T$3:T$78))</f>
        <v/>
      </c>
      <c r="AP62" s="70"/>
      <c r="AQ62" s="6"/>
    </row>
    <row r="63" spans="1:43" ht="14.25" customHeight="1" thickBot="1">
      <c r="A63" s="1043"/>
      <c r="B63" s="1052"/>
      <c r="C63" s="1046"/>
      <c r="D63" s="677"/>
      <c r="E63" s="677"/>
      <c r="F63" s="1044"/>
      <c r="G63" s="677"/>
      <c r="H63" s="677"/>
      <c r="I63" s="1045"/>
      <c r="J63" s="677"/>
      <c r="K63" s="677"/>
      <c r="L63" s="1045"/>
      <c r="M63" s="677"/>
      <c r="N63" s="677"/>
      <c r="O63" s="1045"/>
      <c r="P63" s="677"/>
      <c r="Q63" s="677"/>
      <c r="R63" s="616" t="s">
        <v>706</v>
      </c>
      <c r="S63" s="1048"/>
      <c r="T63" s="70"/>
      <c r="U63" s="6"/>
      <c r="W63" s="1043"/>
      <c r="X63" s="1052"/>
      <c r="Y63" s="1046"/>
      <c r="Z63" s="677"/>
      <c r="AA63" s="677"/>
      <c r="AB63" s="1044"/>
      <c r="AC63" s="677"/>
      <c r="AD63" s="677"/>
      <c r="AE63" s="1045"/>
      <c r="AF63" s="677"/>
      <c r="AG63" s="677"/>
      <c r="AH63" s="1045"/>
      <c r="AI63" s="677"/>
      <c r="AJ63" s="677"/>
      <c r="AK63" s="1045"/>
      <c r="AL63" s="677"/>
      <c r="AM63" s="677"/>
      <c r="AN63" s="616" t="s">
        <v>706</v>
      </c>
      <c r="AO63" s="1048"/>
      <c r="AP63" s="70"/>
      <c r="AQ63" s="6"/>
    </row>
    <row r="64" spans="1:43" ht="14.25" customHeight="1" thickBot="1">
      <c r="A64" s="1036" t="str">
        <f ca="1">IF(Score!A64="", "",Score!A64 )</f>
        <v/>
      </c>
      <c r="B64" s="1040"/>
      <c r="C64" s="1039" t="str">
        <f ca="1">IF(Score!B64="", "",Score!B64)</f>
        <v/>
      </c>
      <c r="D64" s="678"/>
      <c r="E64" s="678"/>
      <c r="F64" s="1037"/>
      <c r="G64" s="678"/>
      <c r="H64" s="678"/>
      <c r="I64" s="1038"/>
      <c r="J64" s="678"/>
      <c r="K64" s="678"/>
      <c r="L64" s="1038"/>
      <c r="M64" s="678"/>
      <c r="N64" s="678"/>
      <c r="O64" s="1038"/>
      <c r="P64" s="678"/>
      <c r="Q64" s="678"/>
      <c r="R64" s="615" t="s">
        <v>705</v>
      </c>
      <c r="S64" s="1054" t="str">
        <f ca="1">IF(A64="", "", SUMIF(SK!B$3:B$78, ROW(), SK!D$3:D$78))</f>
        <v/>
      </c>
      <c r="T64" s="70"/>
      <c r="U64" s="6"/>
      <c r="W64" s="1036" t="str">
        <f ca="1">IF(Score!T64="", "",Score!T64 )</f>
        <v/>
      </c>
      <c r="X64" s="1040"/>
      <c r="Y64" s="1039" t="str">
        <f ca="1">IF(Score!U64="", "",Score!U64)</f>
        <v/>
      </c>
      <c r="Z64" s="678"/>
      <c r="AA64" s="678"/>
      <c r="AB64" s="1037"/>
      <c r="AC64" s="678"/>
      <c r="AD64" s="678"/>
      <c r="AE64" s="1038"/>
      <c r="AF64" s="678"/>
      <c r="AG64" s="678"/>
      <c r="AH64" s="1038"/>
      <c r="AI64" s="678"/>
      <c r="AJ64" s="678"/>
      <c r="AK64" s="1038"/>
      <c r="AL64" s="678"/>
      <c r="AM64" s="678"/>
      <c r="AN64" s="615" t="s">
        <v>705</v>
      </c>
      <c r="AO64" s="1054" t="str">
        <f ca="1">IF(W64="", "", SUMIF(SK!R$3:R$78, ROW(), SK!T$3:T$78))</f>
        <v/>
      </c>
      <c r="AP64" s="70"/>
      <c r="AQ64" s="6"/>
    </row>
    <row r="65" spans="1:44" ht="14.25" customHeight="1" thickBot="1">
      <c r="A65" s="1036"/>
      <c r="B65" s="1041"/>
      <c r="C65" s="1039"/>
      <c r="D65" s="676"/>
      <c r="E65" s="676"/>
      <c r="F65" s="1037"/>
      <c r="G65" s="676"/>
      <c r="H65" s="676"/>
      <c r="I65" s="1038"/>
      <c r="J65" s="676"/>
      <c r="K65" s="676"/>
      <c r="L65" s="1038"/>
      <c r="M65" s="676"/>
      <c r="N65" s="676"/>
      <c r="O65" s="1038"/>
      <c r="P65" s="676"/>
      <c r="Q65" s="676"/>
      <c r="R65" s="616" t="s">
        <v>706</v>
      </c>
      <c r="S65" s="1054"/>
      <c r="T65" s="70"/>
      <c r="U65" s="6"/>
      <c r="W65" s="1036"/>
      <c r="X65" s="1041"/>
      <c r="Y65" s="1039"/>
      <c r="Z65" s="676"/>
      <c r="AA65" s="676"/>
      <c r="AB65" s="1037"/>
      <c r="AC65" s="676"/>
      <c r="AD65" s="676"/>
      <c r="AE65" s="1038"/>
      <c r="AF65" s="676"/>
      <c r="AG65" s="676"/>
      <c r="AH65" s="1038"/>
      <c r="AI65" s="676"/>
      <c r="AJ65" s="676"/>
      <c r="AK65" s="1038"/>
      <c r="AL65" s="676"/>
      <c r="AM65" s="676"/>
      <c r="AN65" s="616" t="s">
        <v>706</v>
      </c>
      <c r="AO65" s="1054"/>
      <c r="AP65" s="70"/>
      <c r="AQ65" s="6"/>
    </row>
    <row r="66" spans="1:44" ht="14.25" customHeight="1" thickBot="1">
      <c r="A66" s="1043" t="str">
        <f ca="1">IF(Score!A66="", "",Score!A66 )</f>
        <v/>
      </c>
      <c r="B66" s="1051"/>
      <c r="C66" s="1046" t="str">
        <f ca="1">IF(Score!B66="", "",Score!B66)</f>
        <v/>
      </c>
      <c r="D66" s="675"/>
      <c r="E66" s="675"/>
      <c r="F66" s="1044"/>
      <c r="G66" s="675"/>
      <c r="H66" s="675"/>
      <c r="I66" s="1045"/>
      <c r="J66" s="675"/>
      <c r="K66" s="675"/>
      <c r="L66" s="1045"/>
      <c r="M66" s="675"/>
      <c r="N66" s="675"/>
      <c r="O66" s="1045"/>
      <c r="P66" s="675"/>
      <c r="Q66" s="675"/>
      <c r="R66" s="615" t="s">
        <v>705</v>
      </c>
      <c r="S66" s="1047" t="str">
        <f ca="1">IF(A66="", "", SUMIF(SK!B$3:B$78, ROW(), SK!D$3:D$78))</f>
        <v/>
      </c>
      <c r="T66" s="70"/>
      <c r="U66" s="6"/>
      <c r="W66" s="1043" t="str">
        <f ca="1">IF(Score!T66="", "",Score!T66 )</f>
        <v/>
      </c>
      <c r="X66" s="1051"/>
      <c r="Y66" s="1046" t="str">
        <f ca="1">IF(Score!U66="", "",Score!U66)</f>
        <v/>
      </c>
      <c r="Z66" s="675"/>
      <c r="AA66" s="675"/>
      <c r="AB66" s="1044"/>
      <c r="AC66" s="675"/>
      <c r="AD66" s="675"/>
      <c r="AE66" s="1045"/>
      <c r="AF66" s="675"/>
      <c r="AG66" s="675"/>
      <c r="AH66" s="1045"/>
      <c r="AI66" s="675"/>
      <c r="AJ66" s="675"/>
      <c r="AK66" s="1045"/>
      <c r="AL66" s="675"/>
      <c r="AM66" s="675"/>
      <c r="AN66" s="615" t="s">
        <v>705</v>
      </c>
      <c r="AO66" s="1047" t="str">
        <f ca="1">IF(W66="", "", SUMIF(SK!R$3:R$78, ROW(), SK!T$3:T$78))</f>
        <v/>
      </c>
      <c r="AP66" s="70"/>
      <c r="AQ66" s="6"/>
    </row>
    <row r="67" spans="1:44" ht="14.25" customHeight="1" thickBot="1">
      <c r="A67" s="1043"/>
      <c r="B67" s="1052"/>
      <c r="C67" s="1046"/>
      <c r="D67" s="677"/>
      <c r="E67" s="677"/>
      <c r="F67" s="1044"/>
      <c r="G67" s="677"/>
      <c r="H67" s="677"/>
      <c r="I67" s="1045"/>
      <c r="J67" s="677"/>
      <c r="K67" s="677"/>
      <c r="L67" s="1045"/>
      <c r="M67" s="677"/>
      <c r="N67" s="677"/>
      <c r="O67" s="1045"/>
      <c r="P67" s="677"/>
      <c r="Q67" s="677"/>
      <c r="R67" s="616" t="s">
        <v>706</v>
      </c>
      <c r="S67" s="1048"/>
      <c r="T67" s="70"/>
      <c r="U67" s="6"/>
      <c r="W67" s="1043"/>
      <c r="X67" s="1052"/>
      <c r="Y67" s="1046"/>
      <c r="Z67" s="677"/>
      <c r="AA67" s="677"/>
      <c r="AB67" s="1044"/>
      <c r="AC67" s="677"/>
      <c r="AD67" s="677"/>
      <c r="AE67" s="1045"/>
      <c r="AF67" s="677"/>
      <c r="AG67" s="677"/>
      <c r="AH67" s="1045"/>
      <c r="AI67" s="677"/>
      <c r="AJ67" s="677"/>
      <c r="AK67" s="1045"/>
      <c r="AL67" s="677"/>
      <c r="AM67" s="677"/>
      <c r="AN67" s="616" t="s">
        <v>706</v>
      </c>
      <c r="AO67" s="1048"/>
      <c r="AP67" s="70"/>
      <c r="AQ67" s="6"/>
    </row>
    <row r="68" spans="1:44" ht="14.25" customHeight="1" thickBot="1">
      <c r="A68" s="1036" t="str">
        <f ca="1">IF(Score!A68="", "",Score!A68 )</f>
        <v/>
      </c>
      <c r="B68" s="1040"/>
      <c r="C68" s="1039" t="str">
        <f ca="1">IF(Score!B68="", "",Score!B68)</f>
        <v/>
      </c>
      <c r="D68" s="678"/>
      <c r="E68" s="678"/>
      <c r="F68" s="1037"/>
      <c r="G68" s="678"/>
      <c r="H68" s="678"/>
      <c r="I68" s="1038"/>
      <c r="J68" s="678"/>
      <c r="K68" s="678"/>
      <c r="L68" s="1038"/>
      <c r="M68" s="678"/>
      <c r="N68" s="678"/>
      <c r="O68" s="1038"/>
      <c r="P68" s="678"/>
      <c r="Q68" s="678"/>
      <c r="R68" s="615" t="s">
        <v>705</v>
      </c>
      <c r="S68" s="1054" t="str">
        <f ca="1">IF(A68="", "", SUMIF(SK!B$3:B$78, ROW(), SK!D$3:D$78))</f>
        <v/>
      </c>
      <c r="T68" s="70"/>
      <c r="U68" s="6"/>
      <c r="W68" s="1036" t="str">
        <f ca="1">IF(Score!T68="", "",Score!T68 )</f>
        <v/>
      </c>
      <c r="X68" s="1040"/>
      <c r="Y68" s="1039" t="str">
        <f ca="1">IF(Score!U68="", "",Score!U68)</f>
        <v/>
      </c>
      <c r="Z68" s="678"/>
      <c r="AA68" s="678"/>
      <c r="AB68" s="1037"/>
      <c r="AC68" s="678"/>
      <c r="AD68" s="678"/>
      <c r="AE68" s="1038"/>
      <c r="AF68" s="678"/>
      <c r="AG68" s="678"/>
      <c r="AH68" s="1038"/>
      <c r="AI68" s="678"/>
      <c r="AJ68" s="678"/>
      <c r="AK68" s="1038"/>
      <c r="AL68" s="678"/>
      <c r="AM68" s="678"/>
      <c r="AN68" s="615" t="s">
        <v>705</v>
      </c>
      <c r="AO68" s="1054" t="str">
        <f ca="1">IF(W68="", "", SUMIF(SK!R$3:R$78, ROW(), SK!T$3:T$78))</f>
        <v/>
      </c>
      <c r="AP68" s="70"/>
      <c r="AQ68" s="6"/>
    </row>
    <row r="69" spans="1:44" ht="14.25" customHeight="1" thickBot="1">
      <c r="A69" s="1036"/>
      <c r="B69" s="1041"/>
      <c r="C69" s="1039"/>
      <c r="D69" s="676"/>
      <c r="E69" s="676"/>
      <c r="F69" s="1037"/>
      <c r="G69" s="676"/>
      <c r="H69" s="676"/>
      <c r="I69" s="1038"/>
      <c r="J69" s="676"/>
      <c r="K69" s="676"/>
      <c r="L69" s="1038"/>
      <c r="M69" s="676"/>
      <c r="N69" s="676"/>
      <c r="O69" s="1038"/>
      <c r="P69" s="676"/>
      <c r="Q69" s="676"/>
      <c r="R69" s="616" t="s">
        <v>706</v>
      </c>
      <c r="S69" s="1054"/>
      <c r="T69" s="70"/>
      <c r="U69" s="6"/>
      <c r="W69" s="1036"/>
      <c r="X69" s="1041"/>
      <c r="Y69" s="1039"/>
      <c r="Z69" s="676"/>
      <c r="AA69" s="676"/>
      <c r="AB69" s="1037"/>
      <c r="AC69" s="676"/>
      <c r="AD69" s="676"/>
      <c r="AE69" s="1038"/>
      <c r="AF69" s="676"/>
      <c r="AG69" s="676"/>
      <c r="AH69" s="1038"/>
      <c r="AI69" s="676"/>
      <c r="AJ69" s="676"/>
      <c r="AK69" s="1038"/>
      <c r="AL69" s="676"/>
      <c r="AM69" s="676"/>
      <c r="AN69" s="616" t="s">
        <v>706</v>
      </c>
      <c r="AO69" s="1054"/>
      <c r="AP69" s="70"/>
      <c r="AQ69" s="6"/>
    </row>
    <row r="70" spans="1:44" ht="14.25" customHeight="1" thickBot="1">
      <c r="A70" s="1043" t="str">
        <f ca="1">IF(Score!A70="", "",Score!A70 )</f>
        <v/>
      </c>
      <c r="B70" s="1051"/>
      <c r="C70" s="1046" t="str">
        <f ca="1">IF(Score!B70="", "",Score!B70)</f>
        <v/>
      </c>
      <c r="D70" s="675"/>
      <c r="E70" s="675"/>
      <c r="F70" s="1044"/>
      <c r="G70" s="675"/>
      <c r="H70" s="675"/>
      <c r="I70" s="1045"/>
      <c r="J70" s="675"/>
      <c r="K70" s="675"/>
      <c r="L70" s="1045"/>
      <c r="M70" s="675"/>
      <c r="N70" s="675"/>
      <c r="O70" s="1045"/>
      <c r="P70" s="675"/>
      <c r="Q70" s="675"/>
      <c r="R70" s="615" t="s">
        <v>705</v>
      </c>
      <c r="S70" s="1047" t="str">
        <f ca="1">IF(A70="", "", SUMIF(SK!B$3:B$78, ROW(), SK!D$3:D$78))</f>
        <v/>
      </c>
      <c r="T70" s="70"/>
      <c r="U70" s="6"/>
      <c r="W70" s="1043" t="str">
        <f ca="1">IF(Score!T70="", "",Score!T70 )</f>
        <v/>
      </c>
      <c r="X70" s="1051"/>
      <c r="Y70" s="1046" t="str">
        <f ca="1">IF(Score!U70="", "",Score!U70)</f>
        <v/>
      </c>
      <c r="Z70" s="675"/>
      <c r="AA70" s="675"/>
      <c r="AB70" s="1044"/>
      <c r="AC70" s="675"/>
      <c r="AD70" s="675"/>
      <c r="AE70" s="1045"/>
      <c r="AF70" s="675"/>
      <c r="AG70" s="675"/>
      <c r="AH70" s="1045"/>
      <c r="AI70" s="675"/>
      <c r="AJ70" s="675"/>
      <c r="AK70" s="1045"/>
      <c r="AL70" s="675"/>
      <c r="AM70" s="675"/>
      <c r="AN70" s="615" t="s">
        <v>705</v>
      </c>
      <c r="AO70" s="1047" t="str">
        <f ca="1">IF(W70="", "", SUMIF(SK!R$3:R$78, ROW(), SK!T$3:T$78))</f>
        <v/>
      </c>
      <c r="AP70" s="70"/>
      <c r="AQ70" s="6"/>
    </row>
    <row r="71" spans="1:44" ht="14.25" customHeight="1" thickBot="1">
      <c r="A71" s="1043"/>
      <c r="B71" s="1052"/>
      <c r="C71" s="1046"/>
      <c r="D71" s="677"/>
      <c r="E71" s="677"/>
      <c r="F71" s="1044"/>
      <c r="G71" s="677"/>
      <c r="H71" s="677"/>
      <c r="I71" s="1045"/>
      <c r="J71" s="677"/>
      <c r="K71" s="677"/>
      <c r="L71" s="1045"/>
      <c r="M71" s="677"/>
      <c r="N71" s="677"/>
      <c r="O71" s="1045"/>
      <c r="P71" s="677"/>
      <c r="Q71" s="677"/>
      <c r="R71" s="616" t="s">
        <v>706</v>
      </c>
      <c r="S71" s="1048"/>
      <c r="T71" s="70"/>
      <c r="U71" s="6"/>
      <c r="W71" s="1043"/>
      <c r="X71" s="1052"/>
      <c r="Y71" s="1046"/>
      <c r="Z71" s="677"/>
      <c r="AA71" s="677"/>
      <c r="AB71" s="1044"/>
      <c r="AC71" s="677"/>
      <c r="AD71" s="677"/>
      <c r="AE71" s="1045"/>
      <c r="AF71" s="677"/>
      <c r="AG71" s="677"/>
      <c r="AH71" s="1045"/>
      <c r="AI71" s="677"/>
      <c r="AJ71" s="677"/>
      <c r="AK71" s="1045"/>
      <c r="AL71" s="677"/>
      <c r="AM71" s="677"/>
      <c r="AN71" s="616" t="s">
        <v>706</v>
      </c>
      <c r="AO71" s="1048"/>
      <c r="AP71" s="70"/>
      <c r="AQ71" s="6"/>
    </row>
    <row r="72" spans="1:44" ht="14.25" customHeight="1" thickBot="1">
      <c r="A72" s="1036" t="str">
        <f ca="1">IF(Score!A72="", "",Score!A72 )</f>
        <v/>
      </c>
      <c r="B72" s="1040"/>
      <c r="C72" s="1039" t="str">
        <f ca="1">IF(Score!B72="", "",Score!B72)</f>
        <v/>
      </c>
      <c r="D72" s="678"/>
      <c r="E72" s="678"/>
      <c r="F72" s="1037"/>
      <c r="G72" s="678"/>
      <c r="H72" s="678"/>
      <c r="I72" s="1038"/>
      <c r="J72" s="678"/>
      <c r="K72" s="678"/>
      <c r="L72" s="1038"/>
      <c r="M72" s="678"/>
      <c r="N72" s="678"/>
      <c r="O72" s="1038"/>
      <c r="P72" s="678"/>
      <c r="Q72" s="678"/>
      <c r="R72" s="615" t="s">
        <v>705</v>
      </c>
      <c r="S72" s="1054" t="str">
        <f ca="1">IF(A72="", "", SUMIF(SK!B$3:B$78, ROW(), SK!D$3:D$78))</f>
        <v/>
      </c>
      <c r="T72" s="70"/>
      <c r="U72" s="6"/>
      <c r="W72" s="1036" t="str">
        <f ca="1">IF(Score!T72="", "",Score!T72 )</f>
        <v/>
      </c>
      <c r="X72" s="1040"/>
      <c r="Y72" s="1039" t="str">
        <f ca="1">IF(Score!U72="", "",Score!U72)</f>
        <v/>
      </c>
      <c r="Z72" s="678"/>
      <c r="AA72" s="678"/>
      <c r="AB72" s="1037"/>
      <c r="AC72" s="678"/>
      <c r="AD72" s="678"/>
      <c r="AE72" s="1038"/>
      <c r="AF72" s="678"/>
      <c r="AG72" s="678"/>
      <c r="AH72" s="1038"/>
      <c r="AI72" s="678"/>
      <c r="AJ72" s="678"/>
      <c r="AK72" s="1038"/>
      <c r="AL72" s="678"/>
      <c r="AM72" s="678"/>
      <c r="AN72" s="615" t="s">
        <v>705</v>
      </c>
      <c r="AO72" s="1054" t="str">
        <f ca="1">IF(W72="", "", SUMIF(SK!R$3:R$78, ROW(), SK!T$3:T$78))</f>
        <v/>
      </c>
      <c r="AP72" s="70"/>
      <c r="AQ72" s="6"/>
    </row>
    <row r="73" spans="1:44" ht="14.25" customHeight="1" thickBot="1">
      <c r="A73" s="1036"/>
      <c r="B73" s="1041"/>
      <c r="C73" s="1039"/>
      <c r="D73" s="676"/>
      <c r="E73" s="676"/>
      <c r="F73" s="1037"/>
      <c r="G73" s="676"/>
      <c r="H73" s="676"/>
      <c r="I73" s="1038"/>
      <c r="J73" s="676"/>
      <c r="K73" s="676"/>
      <c r="L73" s="1038"/>
      <c r="M73" s="676"/>
      <c r="N73" s="676"/>
      <c r="O73" s="1038"/>
      <c r="P73" s="676"/>
      <c r="Q73" s="676"/>
      <c r="R73" s="616" t="s">
        <v>706</v>
      </c>
      <c r="S73" s="1054"/>
      <c r="T73" s="70"/>
      <c r="U73" s="6"/>
      <c r="W73" s="1036"/>
      <c r="X73" s="1041"/>
      <c r="Y73" s="1039"/>
      <c r="Z73" s="676"/>
      <c r="AA73" s="676"/>
      <c r="AB73" s="1037"/>
      <c r="AC73" s="676"/>
      <c r="AD73" s="676"/>
      <c r="AE73" s="1038"/>
      <c r="AF73" s="676"/>
      <c r="AG73" s="676"/>
      <c r="AH73" s="1038"/>
      <c r="AI73" s="676"/>
      <c r="AJ73" s="676"/>
      <c r="AK73" s="1038"/>
      <c r="AL73" s="676"/>
      <c r="AM73" s="676"/>
      <c r="AN73" s="616" t="s">
        <v>706</v>
      </c>
      <c r="AO73" s="1054"/>
      <c r="AP73" s="70"/>
      <c r="AQ73" s="6"/>
    </row>
    <row r="74" spans="1:44" ht="14.25" customHeight="1" thickBot="1">
      <c r="A74" s="1043" t="str">
        <f ca="1">IF(Score!A74="", "",Score!A74 )</f>
        <v/>
      </c>
      <c r="B74" s="1051"/>
      <c r="C74" s="1046" t="str">
        <f ca="1">IF(Score!B74="", "",Score!B74)</f>
        <v/>
      </c>
      <c r="D74" s="675"/>
      <c r="E74" s="675"/>
      <c r="F74" s="1044"/>
      <c r="G74" s="675"/>
      <c r="H74" s="675"/>
      <c r="I74" s="1045"/>
      <c r="J74" s="675"/>
      <c r="K74" s="675"/>
      <c r="L74" s="1045"/>
      <c r="M74" s="675"/>
      <c r="N74" s="675"/>
      <c r="O74" s="1045"/>
      <c r="P74" s="675"/>
      <c r="Q74" s="675"/>
      <c r="R74" s="615" t="s">
        <v>705</v>
      </c>
      <c r="S74" s="1047" t="str">
        <f ca="1">IF(A74="", "", SUMIF(SK!B$3:B$78, ROW(), SK!D$3:D$78))</f>
        <v/>
      </c>
      <c r="T74" s="70"/>
      <c r="U74" s="6"/>
      <c r="W74" s="1043" t="str">
        <f ca="1">IF(Score!T74="", "",Score!T74 )</f>
        <v/>
      </c>
      <c r="X74" s="1051"/>
      <c r="Y74" s="1046" t="str">
        <f ca="1">IF(Score!U74="", "",Score!U74)</f>
        <v/>
      </c>
      <c r="Z74" s="675"/>
      <c r="AA74" s="675"/>
      <c r="AB74" s="1044"/>
      <c r="AC74" s="675"/>
      <c r="AD74" s="675"/>
      <c r="AE74" s="1045"/>
      <c r="AF74" s="675"/>
      <c r="AG74" s="675"/>
      <c r="AH74" s="1045"/>
      <c r="AI74" s="675"/>
      <c r="AJ74" s="675"/>
      <c r="AK74" s="1045"/>
      <c r="AL74" s="675"/>
      <c r="AM74" s="675"/>
      <c r="AN74" s="615" t="s">
        <v>705</v>
      </c>
      <c r="AO74" s="1047" t="str">
        <f ca="1">IF(W74="", "", SUMIF(SK!R$3:R$78, ROW(), SK!T$3:T$78))</f>
        <v/>
      </c>
      <c r="AP74" s="70"/>
      <c r="AQ74" s="6"/>
    </row>
    <row r="75" spans="1:44" ht="14.25" customHeight="1" thickBot="1">
      <c r="A75" s="1043"/>
      <c r="B75" s="1052"/>
      <c r="C75" s="1046"/>
      <c r="D75" s="677"/>
      <c r="E75" s="677"/>
      <c r="F75" s="1044"/>
      <c r="G75" s="677"/>
      <c r="H75" s="677"/>
      <c r="I75" s="1045"/>
      <c r="J75" s="677"/>
      <c r="K75" s="677"/>
      <c r="L75" s="1045"/>
      <c r="M75" s="677"/>
      <c r="N75" s="677"/>
      <c r="O75" s="1045"/>
      <c r="P75" s="677"/>
      <c r="Q75" s="677"/>
      <c r="R75" s="616" t="s">
        <v>706</v>
      </c>
      <c r="S75" s="1048"/>
      <c r="T75" s="70"/>
      <c r="U75" s="6"/>
      <c r="W75" s="1043"/>
      <c r="X75" s="1052"/>
      <c r="Y75" s="1046"/>
      <c r="Z75" s="677"/>
      <c r="AA75" s="677"/>
      <c r="AB75" s="1044"/>
      <c r="AC75" s="677"/>
      <c r="AD75" s="677"/>
      <c r="AE75" s="1045"/>
      <c r="AF75" s="677"/>
      <c r="AG75" s="677"/>
      <c r="AH75" s="1045"/>
      <c r="AI75" s="677"/>
      <c r="AJ75" s="677"/>
      <c r="AK75" s="1045"/>
      <c r="AL75" s="677"/>
      <c r="AM75" s="677"/>
      <c r="AN75" s="616" t="s">
        <v>706</v>
      </c>
      <c r="AO75" s="1048"/>
      <c r="AP75" s="70"/>
      <c r="AQ75" s="6"/>
    </row>
    <row r="76" spans="1:44" ht="14.25" customHeight="1" thickBot="1">
      <c r="A76" s="1036" t="str">
        <f ca="1">IF(Score!A76="", "",Score!A76 )</f>
        <v/>
      </c>
      <c r="B76" s="1040"/>
      <c r="C76" s="1039" t="str">
        <f ca="1">IF(Score!B76="", "",Score!B76)</f>
        <v/>
      </c>
      <c r="D76" s="678"/>
      <c r="E76" s="678"/>
      <c r="F76" s="1037"/>
      <c r="G76" s="678"/>
      <c r="H76" s="678"/>
      <c r="I76" s="1038"/>
      <c r="J76" s="678"/>
      <c r="K76" s="678"/>
      <c r="L76" s="1038"/>
      <c r="M76" s="678"/>
      <c r="N76" s="678"/>
      <c r="O76" s="1038"/>
      <c r="P76" s="678"/>
      <c r="Q76" s="678"/>
      <c r="R76" s="615" t="s">
        <v>705</v>
      </c>
      <c r="S76" s="1054" t="str">
        <f ca="1">IF(A76="", "", SUMIF(SK!B$3:B$78, ROW(), SK!D$3:D$78))</f>
        <v/>
      </c>
      <c r="T76" s="70"/>
      <c r="U76" s="6"/>
      <c r="W76" s="1036" t="str">
        <f ca="1">IF(Score!T76="", "",Score!T76 )</f>
        <v/>
      </c>
      <c r="X76" s="1040"/>
      <c r="Y76" s="1039" t="str">
        <f ca="1">IF(Score!U76="", "",Score!U76)</f>
        <v/>
      </c>
      <c r="Z76" s="678"/>
      <c r="AA76" s="678"/>
      <c r="AB76" s="1037"/>
      <c r="AC76" s="678"/>
      <c r="AD76" s="678"/>
      <c r="AE76" s="1038"/>
      <c r="AF76" s="678"/>
      <c r="AG76" s="678"/>
      <c r="AH76" s="1038"/>
      <c r="AI76" s="678"/>
      <c r="AJ76" s="678"/>
      <c r="AK76" s="1038"/>
      <c r="AL76" s="678"/>
      <c r="AM76" s="678"/>
      <c r="AN76" s="615" t="s">
        <v>705</v>
      </c>
      <c r="AO76" s="1054" t="str">
        <f ca="1">IF(W76="", "", SUMIF(SK!R$3:R$78, ROW(), SK!T$3:T$78))</f>
        <v/>
      </c>
      <c r="AP76" s="70"/>
      <c r="AQ76" s="6"/>
    </row>
    <row r="77" spans="1:44" ht="14.25" customHeight="1" thickBot="1">
      <c r="A77" s="1036"/>
      <c r="B77" s="1041"/>
      <c r="C77" s="1039"/>
      <c r="D77" s="676"/>
      <c r="E77" s="676"/>
      <c r="F77" s="1037"/>
      <c r="G77" s="676"/>
      <c r="H77" s="676"/>
      <c r="I77" s="1038"/>
      <c r="J77" s="676"/>
      <c r="K77" s="676"/>
      <c r="L77" s="1038"/>
      <c r="M77" s="676"/>
      <c r="N77" s="676"/>
      <c r="O77" s="1038"/>
      <c r="P77" s="676"/>
      <c r="Q77" s="676"/>
      <c r="R77" s="616" t="s">
        <v>706</v>
      </c>
      <c r="S77" s="1054"/>
      <c r="T77" s="70"/>
      <c r="U77" s="6"/>
      <c r="W77" s="1036"/>
      <c r="X77" s="1041"/>
      <c r="Y77" s="1039"/>
      <c r="Z77" s="676"/>
      <c r="AA77" s="676"/>
      <c r="AB77" s="1037"/>
      <c r="AC77" s="676"/>
      <c r="AD77" s="676"/>
      <c r="AE77" s="1038"/>
      <c r="AF77" s="676"/>
      <c r="AG77" s="676"/>
      <c r="AH77" s="1038"/>
      <c r="AI77" s="676"/>
      <c r="AJ77" s="676"/>
      <c r="AK77" s="1038"/>
      <c r="AL77" s="676"/>
      <c r="AM77" s="676"/>
      <c r="AN77" s="616" t="s">
        <v>706</v>
      </c>
      <c r="AO77" s="1054"/>
      <c r="AP77" s="70"/>
      <c r="AQ77" s="6"/>
    </row>
    <row r="78" spans="1:44" ht="14.25" customHeight="1" thickBot="1">
      <c r="A78" s="1043" t="str">
        <f ca="1">IF(Score!A78="", "",Score!A78 )</f>
        <v/>
      </c>
      <c r="B78" s="1051"/>
      <c r="C78" s="1046" t="str">
        <f ca="1">IF(Score!B78="", "",Score!B78)</f>
        <v/>
      </c>
      <c r="D78" s="675"/>
      <c r="E78" s="675"/>
      <c r="F78" s="1044"/>
      <c r="G78" s="675"/>
      <c r="H78" s="675"/>
      <c r="I78" s="1045"/>
      <c r="J78" s="675"/>
      <c r="K78" s="675"/>
      <c r="L78" s="1045"/>
      <c r="M78" s="675"/>
      <c r="N78" s="675"/>
      <c r="O78" s="1045"/>
      <c r="P78" s="675"/>
      <c r="Q78" s="675"/>
      <c r="R78" s="615" t="s">
        <v>705</v>
      </c>
      <c r="S78" s="1047" t="str">
        <f ca="1">IF(A78="", "", SUMIF(SK!B$3:B$78, ROW(), SK!D$3:D$78))</f>
        <v/>
      </c>
      <c r="T78" s="70"/>
      <c r="U78" s="6"/>
      <c r="W78" s="1043" t="str">
        <f ca="1">IF(Score!T78="", "",Score!T78 )</f>
        <v/>
      </c>
      <c r="X78" s="1051"/>
      <c r="Y78" s="1046" t="str">
        <f ca="1">IF(Score!U78="", "",Score!U78)</f>
        <v/>
      </c>
      <c r="Z78" s="675"/>
      <c r="AA78" s="675"/>
      <c r="AB78" s="1044"/>
      <c r="AC78" s="675"/>
      <c r="AD78" s="675"/>
      <c r="AE78" s="1045"/>
      <c r="AF78" s="675"/>
      <c r="AG78" s="675"/>
      <c r="AH78" s="1045"/>
      <c r="AI78" s="675"/>
      <c r="AJ78" s="675"/>
      <c r="AK78" s="1045"/>
      <c r="AL78" s="675"/>
      <c r="AM78" s="675"/>
      <c r="AN78" s="615" t="s">
        <v>705</v>
      </c>
      <c r="AO78" s="1047" t="str">
        <f ca="1">IF(W78="", "", SUMIF(SK!R$3:R$78, ROW(), SK!T$3:T$78))</f>
        <v/>
      </c>
      <c r="AP78" s="70"/>
      <c r="AQ78" s="6"/>
    </row>
    <row r="79" spans="1:44" ht="14.25" customHeight="1" thickBot="1">
      <c r="A79" s="1067"/>
      <c r="B79" s="1078"/>
      <c r="C79" s="1059"/>
      <c r="D79" s="676"/>
      <c r="E79" s="676"/>
      <c r="F79" s="1076"/>
      <c r="G79" s="676"/>
      <c r="H79" s="676"/>
      <c r="I79" s="1058"/>
      <c r="J79" s="676"/>
      <c r="K79" s="676"/>
      <c r="L79" s="1058"/>
      <c r="M79" s="676"/>
      <c r="N79" s="676"/>
      <c r="O79" s="1058"/>
      <c r="P79" s="676"/>
      <c r="Q79" s="676"/>
      <c r="R79" s="616" t="s">
        <v>706</v>
      </c>
      <c r="S79" s="1077"/>
      <c r="T79" s="70"/>
      <c r="U79" s="6"/>
      <c r="W79" s="1067"/>
      <c r="X79" s="1078"/>
      <c r="Y79" s="1059"/>
      <c r="Z79" s="676"/>
      <c r="AA79" s="676"/>
      <c r="AB79" s="1076"/>
      <c r="AC79" s="676"/>
      <c r="AD79" s="676"/>
      <c r="AE79" s="1058"/>
      <c r="AF79" s="676"/>
      <c r="AG79" s="676"/>
      <c r="AH79" s="1058"/>
      <c r="AI79" s="676"/>
      <c r="AJ79" s="676"/>
      <c r="AK79" s="1058"/>
      <c r="AL79" s="676"/>
      <c r="AM79" s="676"/>
      <c r="AN79" s="616" t="s">
        <v>706</v>
      </c>
      <c r="AO79" s="1048"/>
      <c r="AP79" s="70"/>
      <c r="AQ79" s="6"/>
    </row>
    <row r="80" spans="1:44" s="71" customFormat="1" ht="12" customHeight="1">
      <c r="A80" s="1083" t="s">
        <v>477</v>
      </c>
      <c r="B80" s="1084"/>
      <c r="C80" s="1084"/>
      <c r="D80" s="1084"/>
      <c r="E80" s="1084"/>
      <c r="F80" s="1084"/>
      <c r="G80" s="1084"/>
      <c r="H80" s="1084"/>
      <c r="I80" s="1084"/>
      <c r="J80" s="1084"/>
      <c r="K80" s="1084"/>
      <c r="L80" s="1084"/>
      <c r="M80" s="1084"/>
      <c r="N80" s="1084"/>
      <c r="O80" s="1084"/>
      <c r="P80" s="1084"/>
      <c r="Q80" s="1084"/>
      <c r="R80" s="1084"/>
      <c r="S80" s="1084"/>
      <c r="T80" s="1084"/>
      <c r="U80" s="1084"/>
      <c r="V80" s="1085"/>
      <c r="W80" s="1083" t="s">
        <v>477</v>
      </c>
      <c r="X80" s="1084"/>
      <c r="Y80" s="1084"/>
      <c r="Z80" s="1084"/>
      <c r="AA80" s="1084"/>
      <c r="AB80" s="1084"/>
      <c r="AC80" s="1084"/>
      <c r="AD80" s="1084"/>
      <c r="AE80" s="1084"/>
      <c r="AF80" s="1084"/>
      <c r="AG80" s="1084"/>
      <c r="AH80" s="1084"/>
      <c r="AI80" s="1084"/>
      <c r="AJ80" s="1084"/>
      <c r="AK80" s="1084"/>
      <c r="AL80" s="1084"/>
      <c r="AM80" s="1084"/>
      <c r="AN80" s="1084"/>
      <c r="AO80" s="1084"/>
      <c r="AP80" s="1084"/>
      <c r="AQ80" s="1084"/>
      <c r="AR80" s="1085"/>
    </row>
    <row r="81" spans="1:44" s="71" customFormat="1" ht="12" customHeight="1">
      <c r="A81" s="1061" t="s">
        <v>449</v>
      </c>
      <c r="B81" s="1062"/>
      <c r="C81" s="1062"/>
      <c r="D81" s="1062"/>
      <c r="E81" s="1062"/>
      <c r="F81" s="1062"/>
      <c r="G81" s="1062"/>
      <c r="H81" s="1062"/>
      <c r="I81" s="1062"/>
      <c r="J81" s="1062"/>
      <c r="K81" s="1062"/>
      <c r="L81" s="1062"/>
      <c r="M81" s="1062"/>
      <c r="N81" s="1062"/>
      <c r="O81" s="1062"/>
      <c r="P81" s="1062"/>
      <c r="Q81" s="1062"/>
      <c r="R81" s="1062"/>
      <c r="S81" s="1062"/>
      <c r="T81" s="1062"/>
      <c r="U81" s="1062"/>
      <c r="V81" s="1063"/>
      <c r="W81" s="1061" t="s">
        <v>449</v>
      </c>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3"/>
    </row>
    <row r="82" spans="1:44" s="71" customFormat="1" ht="12" customHeight="1">
      <c r="A82" s="1061" t="s">
        <v>478</v>
      </c>
      <c r="B82" s="1062"/>
      <c r="C82" s="1062"/>
      <c r="D82" s="1062"/>
      <c r="E82" s="1062"/>
      <c r="F82" s="1062"/>
      <c r="G82" s="1062"/>
      <c r="H82" s="1062"/>
      <c r="I82" s="1062"/>
      <c r="J82" s="1062"/>
      <c r="K82" s="1062"/>
      <c r="L82" s="1062"/>
      <c r="M82" s="1062"/>
      <c r="N82" s="1062"/>
      <c r="O82" s="1062"/>
      <c r="P82" s="1062"/>
      <c r="Q82" s="1062"/>
      <c r="R82" s="1062"/>
      <c r="S82" s="1062"/>
      <c r="T82" s="1062"/>
      <c r="U82" s="1062"/>
      <c r="V82" s="1063"/>
      <c r="W82" s="1061" t="s">
        <v>478</v>
      </c>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3"/>
    </row>
    <row r="83" spans="1:44" s="71" customFormat="1" ht="12" customHeight="1">
      <c r="A83" s="1061" t="s">
        <v>490</v>
      </c>
      <c r="B83" s="1062"/>
      <c r="C83" s="1062"/>
      <c r="D83" s="1062"/>
      <c r="E83" s="1062"/>
      <c r="F83" s="1062"/>
      <c r="G83" s="1062"/>
      <c r="H83" s="1062"/>
      <c r="I83" s="1062"/>
      <c r="J83" s="1062"/>
      <c r="K83" s="1062"/>
      <c r="L83" s="1062"/>
      <c r="M83" s="1062"/>
      <c r="N83" s="1062"/>
      <c r="O83" s="1062"/>
      <c r="P83" s="1062"/>
      <c r="Q83" s="1062"/>
      <c r="R83" s="1062"/>
      <c r="S83" s="1062"/>
      <c r="T83" s="1062"/>
      <c r="U83" s="1062"/>
      <c r="V83" s="1063"/>
      <c r="W83" s="1061" t="s">
        <v>490</v>
      </c>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3"/>
    </row>
    <row r="84" spans="1:44" s="71" customFormat="1" ht="12" customHeight="1" thickBot="1">
      <c r="A84" s="1064" t="s">
        <v>578</v>
      </c>
      <c r="B84" s="1065"/>
      <c r="C84" s="1065"/>
      <c r="D84" s="1065"/>
      <c r="E84" s="1065"/>
      <c r="F84" s="1065"/>
      <c r="G84" s="1065"/>
      <c r="H84" s="1065"/>
      <c r="I84" s="1065"/>
      <c r="J84" s="1065"/>
      <c r="K84" s="1065"/>
      <c r="L84" s="1065"/>
      <c r="M84" s="1065"/>
      <c r="N84" s="1065"/>
      <c r="O84" s="1065"/>
      <c r="P84" s="1065"/>
      <c r="Q84" s="1065"/>
      <c r="R84" s="1065"/>
      <c r="S84" s="1065"/>
      <c r="T84" s="1065"/>
      <c r="U84" s="1065"/>
      <c r="V84" s="1066"/>
      <c r="W84" s="1064" t="s">
        <v>578</v>
      </c>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6"/>
    </row>
    <row r="85" spans="1:44" s="73" customFormat="1" ht="27" customHeight="1">
      <c r="A85" s="1070" t="str">
        <f>A1</f>
        <v>Detroit Pistoffs</v>
      </c>
      <c r="B85" s="1070"/>
      <c r="C85" s="1070"/>
      <c r="D85" s="1070"/>
      <c r="E85" s="1070"/>
      <c r="F85" s="1070"/>
      <c r="G85" s="1070"/>
      <c r="H85" s="1070"/>
      <c r="I85" s="1071" t="s">
        <v>133</v>
      </c>
      <c r="J85" s="1071"/>
      <c r="K85" s="1071"/>
      <c r="L85" s="1071"/>
      <c r="M85" s="1071"/>
      <c r="N85" s="1071"/>
      <c r="O85" s="1068">
        <f ca="1">IF(ISBLANK(IBRF!$B$5), "", IBRF!$B$5)</f>
        <v>41377</v>
      </c>
      <c r="P85" s="1068"/>
      <c r="Q85" s="1068"/>
      <c r="R85" s="72">
        <v>2</v>
      </c>
      <c r="U85" s="1069" t="s">
        <v>232</v>
      </c>
      <c r="V85" s="1069"/>
      <c r="W85" s="1079" t="str">
        <f>W1</f>
        <v>Pistolwhippers</v>
      </c>
      <c r="X85" s="1079"/>
      <c r="Y85" s="1079"/>
      <c r="Z85" s="1079"/>
      <c r="AA85" s="1079"/>
      <c r="AB85" s="1079"/>
      <c r="AC85" s="1079"/>
      <c r="AD85" s="1079"/>
      <c r="AE85" s="1071" t="s">
        <v>123</v>
      </c>
      <c r="AF85" s="1071"/>
      <c r="AG85" s="1071"/>
      <c r="AH85" s="1071"/>
      <c r="AI85" s="1071"/>
      <c r="AJ85" s="1071"/>
      <c r="AK85" s="1068">
        <f ca="1">IF(ISBLANK(IBRF!$B$5), "", IBRF!$B$5)</f>
        <v>41377</v>
      </c>
      <c r="AL85" s="1068"/>
      <c r="AM85" s="1068"/>
      <c r="AN85" s="72">
        <v>2</v>
      </c>
      <c r="AQ85" s="1069" t="s">
        <v>233</v>
      </c>
      <c r="AR85" s="1069"/>
    </row>
    <row r="86" spans="1:44" s="73" customFormat="1" ht="16.5" customHeight="1" thickBot="1">
      <c r="A86" s="1070"/>
      <c r="B86" s="1070"/>
      <c r="C86" s="1070"/>
      <c r="D86" s="1070"/>
      <c r="E86" s="1070"/>
      <c r="F86" s="1070"/>
      <c r="G86" s="1070"/>
      <c r="H86" s="1070"/>
      <c r="I86" s="1072" t="s">
        <v>500</v>
      </c>
      <c r="J86" s="1072"/>
      <c r="K86" s="1072"/>
      <c r="L86" s="1072"/>
      <c r="M86" s="1072"/>
      <c r="N86" s="1072"/>
      <c r="O86" s="1060" t="s">
        <v>577</v>
      </c>
      <c r="P86" s="1060"/>
      <c r="Q86" s="1060"/>
      <c r="R86" s="74" t="str">
        <f ca="1">IF(ISBLANK(Score!$R$2), "", Score!$R$2)</f>
        <v>BOUT 199</v>
      </c>
      <c r="U86" s="1080" t="s">
        <v>472</v>
      </c>
      <c r="V86" s="1080"/>
      <c r="W86" s="1079"/>
      <c r="X86" s="1079"/>
      <c r="Y86" s="1079"/>
      <c r="Z86" s="1079"/>
      <c r="AA86" s="1079"/>
      <c r="AB86" s="1079"/>
      <c r="AC86" s="1079"/>
      <c r="AD86" s="1079"/>
      <c r="AE86" s="1072" t="s">
        <v>500</v>
      </c>
      <c r="AF86" s="1072"/>
      <c r="AG86" s="1072"/>
      <c r="AH86" s="1072"/>
      <c r="AI86" s="1072"/>
      <c r="AJ86" s="1072"/>
      <c r="AK86" s="1060" t="s">
        <v>577</v>
      </c>
      <c r="AL86" s="1060"/>
      <c r="AM86" s="1060"/>
      <c r="AN86" s="74" t="str">
        <f ca="1">IF(ISBLANK(Score!$R$2), "", Score!$R$2)</f>
        <v>BOUT 199</v>
      </c>
      <c r="AQ86" s="1080" t="s">
        <v>472</v>
      </c>
      <c r="AR86" s="1080"/>
    </row>
    <row r="87" spans="1:44" ht="15.75" customHeight="1" thickBot="1">
      <c r="A87" s="64" t="s">
        <v>393</v>
      </c>
      <c r="B87" s="66" t="s">
        <v>5</v>
      </c>
      <c r="C87" s="66" t="s">
        <v>190</v>
      </c>
      <c r="D87" s="1050" t="s">
        <v>188</v>
      </c>
      <c r="E87" s="1050"/>
      <c r="F87" s="66" t="s">
        <v>4</v>
      </c>
      <c r="G87" s="1050" t="s">
        <v>188</v>
      </c>
      <c r="H87" s="1050"/>
      <c r="I87" s="66" t="s">
        <v>189</v>
      </c>
      <c r="J87" s="1050" t="s">
        <v>188</v>
      </c>
      <c r="K87" s="1050"/>
      <c r="L87" s="66" t="s">
        <v>189</v>
      </c>
      <c r="M87" s="1050" t="s">
        <v>188</v>
      </c>
      <c r="N87" s="1050"/>
      <c r="O87" s="66" t="s">
        <v>189</v>
      </c>
      <c r="P87" s="1050" t="s">
        <v>188</v>
      </c>
      <c r="Q87" s="1050"/>
      <c r="R87" s="67" t="s">
        <v>191</v>
      </c>
      <c r="S87" s="68"/>
      <c r="T87" s="69"/>
      <c r="U87" s="1056" t="s">
        <v>501</v>
      </c>
      <c r="V87" s="1056"/>
      <c r="W87" s="609" t="s">
        <v>393</v>
      </c>
      <c r="X87" s="611" t="s">
        <v>5</v>
      </c>
      <c r="Y87" s="611" t="s">
        <v>190</v>
      </c>
      <c r="Z87" s="1049" t="s">
        <v>188</v>
      </c>
      <c r="AA87" s="1049"/>
      <c r="AB87" s="611" t="s">
        <v>4</v>
      </c>
      <c r="AC87" s="1049" t="s">
        <v>188</v>
      </c>
      <c r="AD87" s="1049"/>
      <c r="AE87" s="611" t="s">
        <v>189</v>
      </c>
      <c r="AF87" s="1049" t="s">
        <v>188</v>
      </c>
      <c r="AG87" s="1049"/>
      <c r="AH87" s="611" t="s">
        <v>189</v>
      </c>
      <c r="AI87" s="1049" t="s">
        <v>188</v>
      </c>
      <c r="AJ87" s="1049"/>
      <c r="AK87" s="611" t="s">
        <v>189</v>
      </c>
      <c r="AL87" s="1049" t="s">
        <v>188</v>
      </c>
      <c r="AM87" s="1049"/>
      <c r="AN87" s="612" t="s">
        <v>191</v>
      </c>
      <c r="AO87" s="613"/>
      <c r="AP87" s="614"/>
      <c r="AQ87" s="1042" t="s">
        <v>501</v>
      </c>
      <c r="AR87" s="1042"/>
    </row>
    <row r="88" spans="1:44" ht="14.25" customHeight="1" thickBot="1">
      <c r="A88" s="1036">
        <f ca="1">IF(Score!A90="", "",Score!A90)</f>
        <v>1</v>
      </c>
      <c r="B88" s="1040"/>
      <c r="C88" s="1039" t="str">
        <f ca="1">IF(Score!B90="", "",Score!B90)</f>
        <v>80</v>
      </c>
      <c r="D88" s="678"/>
      <c r="E88" s="678"/>
      <c r="F88" s="1037" t="s">
        <v>219</v>
      </c>
      <c r="G88" s="678"/>
      <c r="H88" s="678"/>
      <c r="I88" s="1038" t="s">
        <v>57</v>
      </c>
      <c r="J88" s="678"/>
      <c r="K88" s="678"/>
      <c r="L88" s="1038" t="s">
        <v>45</v>
      </c>
      <c r="M88" s="678"/>
      <c r="N88" s="678"/>
      <c r="O88" s="1038" t="s">
        <v>55</v>
      </c>
      <c r="P88" s="678" t="s">
        <v>124</v>
      </c>
      <c r="Q88" s="678"/>
      <c r="R88" s="615" t="s">
        <v>705</v>
      </c>
      <c r="S88" s="1054">
        <f ca="1">IF(A88="", "", SUMIF(SK!B$88:B$162, ROW()+2, SK!D$88:D$162))</f>
        <v>0</v>
      </c>
      <c r="T88" s="70"/>
      <c r="U88" s="1053" t="str">
        <f>IF(U4="","",U4)</f>
        <v>138</v>
      </c>
      <c r="V88" s="1073" t="str">
        <f>V4</f>
        <v>Mag Pie</v>
      </c>
      <c r="W88" s="1036">
        <f ca="1">IF(Score!T90="", "",Score!T90)</f>
        <v>1</v>
      </c>
      <c r="X88" s="1040"/>
      <c r="Y88" s="1039" t="str">
        <f ca="1">IF(Score!U90="", "",Score!U90)</f>
        <v>620</v>
      </c>
      <c r="Z88" s="678"/>
      <c r="AA88" s="678"/>
      <c r="AB88" s="1037" t="s">
        <v>78</v>
      </c>
      <c r="AC88" s="678"/>
      <c r="AD88" s="678"/>
      <c r="AE88" s="1038" t="s">
        <v>80</v>
      </c>
      <c r="AF88" s="678"/>
      <c r="AG88" s="678"/>
      <c r="AH88" s="1038" t="s">
        <v>72</v>
      </c>
      <c r="AI88" s="678"/>
      <c r="AJ88" s="678"/>
      <c r="AK88" s="1038" t="s">
        <v>358</v>
      </c>
      <c r="AL88" s="678" t="s">
        <v>124</v>
      </c>
      <c r="AM88" s="678"/>
      <c r="AN88" s="615" t="s">
        <v>705</v>
      </c>
      <c r="AO88" s="1054">
        <f ca="1">IF(W88="", "", SUMIF(SK!R$88:R$162, ROW()+2, SK!T$88:T$162))</f>
        <v>0</v>
      </c>
      <c r="AP88" s="70"/>
      <c r="AQ88" s="1053" t="str">
        <f>IF(AQ4="","",AQ4)</f>
        <v>182</v>
      </c>
      <c r="AR88" s="1073" t="str">
        <f>AR4</f>
        <v>Travis Blocker</v>
      </c>
    </row>
    <row r="89" spans="1:44" ht="14.25" customHeight="1" thickBot="1">
      <c r="A89" s="1036"/>
      <c r="B89" s="1041"/>
      <c r="C89" s="1039"/>
      <c r="D89" s="676"/>
      <c r="E89" s="676"/>
      <c r="F89" s="1037"/>
      <c r="G89" s="676"/>
      <c r="H89" s="676"/>
      <c r="I89" s="1038"/>
      <c r="J89" s="676"/>
      <c r="K89" s="676"/>
      <c r="L89" s="1038"/>
      <c r="M89" s="676"/>
      <c r="N89" s="676"/>
      <c r="O89" s="1038"/>
      <c r="P89" s="676"/>
      <c r="Q89" s="676"/>
      <c r="R89" s="616" t="s">
        <v>706</v>
      </c>
      <c r="S89" s="1054"/>
      <c r="T89" s="70"/>
      <c r="U89" s="1053"/>
      <c r="V89" s="1073"/>
      <c r="W89" s="1036"/>
      <c r="X89" s="1041"/>
      <c r="Y89" s="1039"/>
      <c r="Z89" s="676"/>
      <c r="AA89" s="676"/>
      <c r="AB89" s="1037"/>
      <c r="AC89" s="676"/>
      <c r="AD89" s="676"/>
      <c r="AE89" s="1038"/>
      <c r="AF89" s="676"/>
      <c r="AG89" s="676"/>
      <c r="AH89" s="1038"/>
      <c r="AI89" s="676"/>
      <c r="AJ89" s="676"/>
      <c r="AK89" s="1038"/>
      <c r="AL89" s="676"/>
      <c r="AM89" s="676"/>
      <c r="AN89" s="616" t="s">
        <v>706</v>
      </c>
      <c r="AO89" s="1054"/>
      <c r="AP89" s="70"/>
      <c r="AQ89" s="1053"/>
      <c r="AR89" s="1073"/>
    </row>
    <row r="90" spans="1:44" ht="14.25" customHeight="1" thickBot="1">
      <c r="A90" s="1043">
        <f ca="1">IF(Score!A92="", "",Score!A92)</f>
        <v>2</v>
      </c>
      <c r="B90" s="1051"/>
      <c r="C90" s="1046" t="str">
        <f ca="1">IF(Score!B92="", "",Score!B92)</f>
        <v>428</v>
      </c>
      <c r="D90" s="675"/>
      <c r="E90" s="675"/>
      <c r="F90" s="1044" t="s">
        <v>51</v>
      </c>
      <c r="G90" s="675"/>
      <c r="H90" s="675"/>
      <c r="I90" s="1045" t="s">
        <v>53</v>
      </c>
      <c r="J90" s="675"/>
      <c r="K90" s="675"/>
      <c r="L90" s="1045" t="s">
        <v>47</v>
      </c>
      <c r="M90" s="675"/>
      <c r="N90" s="675"/>
      <c r="O90" s="1045" t="s">
        <v>55</v>
      </c>
      <c r="P90" s="675" t="s">
        <v>124</v>
      </c>
      <c r="Q90" s="675" t="s">
        <v>360</v>
      </c>
      <c r="R90" s="615" t="s">
        <v>705</v>
      </c>
      <c r="S90" s="1047">
        <f ca="1">IF(A90="", "", SUMIF(SK!B$88:B$162, ROW()+2, SK!D$88:D$162))</f>
        <v>0</v>
      </c>
      <c r="T90" s="70"/>
      <c r="U90" s="1053" t="str">
        <f>IF(U6="","",U6)</f>
        <v>181</v>
      </c>
      <c r="V90" s="1073" t="str">
        <f>V6</f>
        <v>Vega Vendetta</v>
      </c>
      <c r="W90" s="1043">
        <f ca="1">IF(Score!T92="", "",Score!T92)</f>
        <v>2</v>
      </c>
      <c r="X90" s="1051"/>
      <c r="Y90" s="1046" t="str">
        <f ca="1">IF(Score!U92="", "",Score!U92)</f>
        <v>50</v>
      </c>
      <c r="Z90" s="675"/>
      <c r="AA90" s="675"/>
      <c r="AB90" s="1044" t="s">
        <v>113</v>
      </c>
      <c r="AC90" s="675"/>
      <c r="AD90" s="675"/>
      <c r="AE90" s="1045" t="s">
        <v>237</v>
      </c>
      <c r="AF90" s="675"/>
      <c r="AG90" s="675"/>
      <c r="AH90" s="1045" t="s">
        <v>364</v>
      </c>
      <c r="AI90" s="675"/>
      <c r="AJ90" s="675"/>
      <c r="AK90" s="1045" t="s">
        <v>358</v>
      </c>
      <c r="AL90" s="675" t="s">
        <v>124</v>
      </c>
      <c r="AM90" s="675" t="s">
        <v>360</v>
      </c>
      <c r="AN90" s="615" t="s">
        <v>705</v>
      </c>
      <c r="AO90" s="1047">
        <f ca="1">IF(W90="", "", SUMIF(SK!R$88:R$162, ROW()+2, SK!T$88:T$162))</f>
        <v>0</v>
      </c>
      <c r="AP90" s="70"/>
      <c r="AQ90" s="1053" t="str">
        <f>IF(AQ6="","",AQ6)</f>
        <v>2¢</v>
      </c>
      <c r="AR90" s="1073" t="str">
        <f>AR6</f>
        <v>Vera Toss</v>
      </c>
    </row>
    <row r="91" spans="1:44" ht="14.25" customHeight="1" thickBot="1">
      <c r="A91" s="1043"/>
      <c r="B91" s="1074"/>
      <c r="C91" s="1046"/>
      <c r="D91" s="677"/>
      <c r="E91" s="677"/>
      <c r="F91" s="1044"/>
      <c r="G91" s="677"/>
      <c r="H91" s="677"/>
      <c r="I91" s="1045"/>
      <c r="J91" s="677"/>
      <c r="K91" s="677"/>
      <c r="L91" s="1045"/>
      <c r="M91" s="677"/>
      <c r="N91" s="677"/>
      <c r="O91" s="1045"/>
      <c r="P91" s="677"/>
      <c r="Q91" s="677"/>
      <c r="R91" s="616" t="s">
        <v>706</v>
      </c>
      <c r="S91" s="1048"/>
      <c r="T91" s="70"/>
      <c r="U91" s="1053"/>
      <c r="V91" s="1073"/>
      <c r="W91" s="1043"/>
      <c r="X91" s="1074"/>
      <c r="Y91" s="1046"/>
      <c r="Z91" s="677"/>
      <c r="AA91" s="677"/>
      <c r="AB91" s="1044"/>
      <c r="AC91" s="677"/>
      <c r="AD91" s="677"/>
      <c r="AE91" s="1045"/>
      <c r="AF91" s="677"/>
      <c r="AG91" s="677"/>
      <c r="AH91" s="1045"/>
      <c r="AI91" s="677"/>
      <c r="AJ91" s="677"/>
      <c r="AK91" s="1045"/>
      <c r="AL91" s="677"/>
      <c r="AM91" s="677"/>
      <c r="AN91" s="616" t="s">
        <v>706</v>
      </c>
      <c r="AO91" s="1048"/>
      <c r="AP91" s="70"/>
      <c r="AQ91" s="1053"/>
      <c r="AR91" s="1073"/>
    </row>
    <row r="92" spans="1:44" ht="14.25" customHeight="1" thickBot="1">
      <c r="A92" s="1036">
        <f ca="1">IF(Score!A94="", "",Score!A94)</f>
        <v>3</v>
      </c>
      <c r="B92" s="1040"/>
      <c r="C92" s="1039" t="str">
        <f ca="1">IF(Score!B94="", "",Score!B94)</f>
        <v>728</v>
      </c>
      <c r="D92" s="678" t="s">
        <v>360</v>
      </c>
      <c r="E92" s="678"/>
      <c r="F92" s="1037" t="s">
        <v>219</v>
      </c>
      <c r="G92" s="678" t="s">
        <v>127</v>
      </c>
      <c r="H92" s="678"/>
      <c r="I92" s="1038" t="s">
        <v>57</v>
      </c>
      <c r="J92" s="678"/>
      <c r="K92" s="678"/>
      <c r="L92" s="1038" t="s">
        <v>41</v>
      </c>
      <c r="M92" s="678"/>
      <c r="N92" s="678"/>
      <c r="O92" s="1038" t="s">
        <v>47</v>
      </c>
      <c r="P92" s="678"/>
      <c r="Q92" s="678"/>
      <c r="R92" s="615" t="s">
        <v>705</v>
      </c>
      <c r="S92" s="1054">
        <f ca="1">IF(A92="", "", SUMIF(SK!B$88:B$162, ROW()+2, SK!D$88:D$162))</f>
        <v>3</v>
      </c>
      <c r="T92" s="70"/>
      <c r="U92" s="1053" t="str">
        <f>IF(U8="","",U8)</f>
        <v>1821</v>
      </c>
      <c r="V92" s="1073" t="str">
        <f>V8</f>
        <v>Mexi-Go</v>
      </c>
      <c r="W92" s="1036">
        <f ca="1">IF(Score!T94="", "",Score!T94)</f>
        <v>3</v>
      </c>
      <c r="X92" s="1040"/>
      <c r="Y92" s="1039" t="str">
        <f ca="1">IF(Score!U94="", "",Score!U94)</f>
        <v>9.81</v>
      </c>
      <c r="Z92" s="678"/>
      <c r="AA92" s="678"/>
      <c r="AB92" s="1037" t="s">
        <v>78</v>
      </c>
      <c r="AC92" s="678"/>
      <c r="AD92" s="678"/>
      <c r="AE92" s="1038" t="s">
        <v>362</v>
      </c>
      <c r="AF92" s="678"/>
      <c r="AG92" s="678"/>
      <c r="AH92" s="1038" t="s">
        <v>366</v>
      </c>
      <c r="AI92" s="678"/>
      <c r="AJ92" s="678"/>
      <c r="AK92" s="1038" t="s">
        <v>74</v>
      </c>
      <c r="AL92" s="678"/>
      <c r="AM92" s="678"/>
      <c r="AN92" s="615" t="s">
        <v>705</v>
      </c>
      <c r="AO92" s="1054">
        <f ca="1">IF(W92="", "", SUMIF(SK!R$88:R$162, ROW()+2, SK!T$88:T$162))</f>
        <v>10</v>
      </c>
      <c r="AP92" s="70"/>
      <c r="AQ92" s="1053" t="str">
        <f>IF(AQ8="","",AQ8)</f>
        <v>24/7</v>
      </c>
      <c r="AR92" s="1073" t="str">
        <f>AR8</f>
        <v>boo d. livers</v>
      </c>
    </row>
    <row r="93" spans="1:44" ht="14.25" customHeight="1" thickBot="1">
      <c r="A93" s="1036"/>
      <c r="B93" s="1041"/>
      <c r="C93" s="1039"/>
      <c r="D93" s="676"/>
      <c r="E93" s="676"/>
      <c r="F93" s="1037"/>
      <c r="G93" s="676"/>
      <c r="H93" s="676"/>
      <c r="I93" s="1038"/>
      <c r="J93" s="676"/>
      <c r="K93" s="676"/>
      <c r="L93" s="1038"/>
      <c r="M93" s="676"/>
      <c r="N93" s="676"/>
      <c r="O93" s="1038"/>
      <c r="P93" s="676"/>
      <c r="Q93" s="676"/>
      <c r="R93" s="616" t="s">
        <v>706</v>
      </c>
      <c r="S93" s="1054"/>
      <c r="T93" s="70"/>
      <c r="U93" s="1053"/>
      <c r="V93" s="1073"/>
      <c r="W93" s="1036"/>
      <c r="X93" s="1041"/>
      <c r="Y93" s="1039"/>
      <c r="Z93" s="676"/>
      <c r="AA93" s="676"/>
      <c r="AB93" s="1037"/>
      <c r="AC93" s="676"/>
      <c r="AD93" s="676"/>
      <c r="AE93" s="1038"/>
      <c r="AF93" s="676"/>
      <c r="AG93" s="676"/>
      <c r="AH93" s="1038"/>
      <c r="AI93" s="676"/>
      <c r="AJ93" s="676"/>
      <c r="AK93" s="1038"/>
      <c r="AL93" s="676"/>
      <c r="AM93" s="676"/>
      <c r="AN93" s="616" t="s">
        <v>706</v>
      </c>
      <c r="AO93" s="1054"/>
      <c r="AP93" s="70"/>
      <c r="AQ93" s="1053"/>
      <c r="AR93" s="1073"/>
    </row>
    <row r="94" spans="1:44" ht="14.25" customHeight="1" thickBot="1">
      <c r="A94" s="1043">
        <f ca="1">IF(Score!A96="", "",Score!A96)</f>
        <v>4</v>
      </c>
      <c r="B94" s="1051"/>
      <c r="C94" s="1046" t="str">
        <f ca="1">IF(Score!B96="", "",Score!B96)</f>
        <v>728</v>
      </c>
      <c r="D94" s="675" t="s">
        <v>124</v>
      </c>
      <c r="E94" s="675" t="s">
        <v>360</v>
      </c>
      <c r="F94" s="1044" t="s">
        <v>219</v>
      </c>
      <c r="G94" s="675" t="s">
        <v>124</v>
      </c>
      <c r="H94" s="675" t="s">
        <v>128</v>
      </c>
      <c r="I94" s="1045" t="s">
        <v>53</v>
      </c>
      <c r="J94" s="675"/>
      <c r="K94" s="675"/>
      <c r="L94" s="1045" t="s">
        <v>45</v>
      </c>
      <c r="M94" s="675"/>
      <c r="N94" s="675"/>
      <c r="O94" s="1045" t="s">
        <v>51</v>
      </c>
      <c r="P94" s="675"/>
      <c r="Q94" s="675"/>
      <c r="R94" s="615" t="s">
        <v>705</v>
      </c>
      <c r="S94" s="1047">
        <f ca="1">IF(A94="", "", SUMIF(SK!B$88:B$162, ROW()+2, SK!D$88:D$162))</f>
        <v>0</v>
      </c>
      <c r="T94" s="70"/>
      <c r="U94" s="1053" t="str">
        <f>IF(U10="","",U10)</f>
        <v>187</v>
      </c>
      <c r="V94" s="1073" t="str">
        <f>V10</f>
        <v>VeroniKILL</v>
      </c>
      <c r="W94" s="1043">
        <f ca="1">IF(Score!T96="", "",Score!T96)</f>
        <v>4</v>
      </c>
      <c r="X94" s="1051"/>
      <c r="Y94" s="1046" t="str">
        <f ca="1">IF(Score!U96="", "",Score!U96)</f>
        <v>620</v>
      </c>
      <c r="Z94" s="675"/>
      <c r="AA94" s="675"/>
      <c r="AB94" s="1044" t="s">
        <v>80</v>
      </c>
      <c r="AC94" s="675"/>
      <c r="AD94" s="675"/>
      <c r="AE94" s="1045" t="s">
        <v>113</v>
      </c>
      <c r="AF94" s="675"/>
      <c r="AG94" s="675"/>
      <c r="AH94" s="1045" t="s">
        <v>125</v>
      </c>
      <c r="AI94" s="675"/>
      <c r="AJ94" s="675"/>
      <c r="AK94" s="1045" t="s">
        <v>72</v>
      </c>
      <c r="AL94" s="675"/>
      <c r="AM94" s="675"/>
      <c r="AN94" s="615" t="s">
        <v>705</v>
      </c>
      <c r="AO94" s="1047">
        <f ca="1">IF(W94="", "", SUMIF(SK!R$88:R$162, ROW()+2, SK!T$88:T$162))</f>
        <v>4</v>
      </c>
      <c r="AP94" s="70"/>
      <c r="AQ94" s="1053" t="str">
        <f>IF(AQ10="","",AQ10)</f>
        <v>27</v>
      </c>
      <c r="AR94" s="1073" t="str">
        <f>AR10</f>
        <v>A.O. Lesgo</v>
      </c>
    </row>
    <row r="95" spans="1:44" ht="14.25" customHeight="1" thickBot="1">
      <c r="A95" s="1043"/>
      <c r="B95" s="1074"/>
      <c r="C95" s="1046"/>
      <c r="D95" s="677"/>
      <c r="E95" s="677"/>
      <c r="F95" s="1044"/>
      <c r="G95" s="677"/>
      <c r="H95" s="677"/>
      <c r="I95" s="1045"/>
      <c r="J95" s="677"/>
      <c r="K95" s="677"/>
      <c r="L95" s="1045"/>
      <c r="M95" s="677"/>
      <c r="N95" s="677"/>
      <c r="O95" s="1045"/>
      <c r="P95" s="677"/>
      <c r="Q95" s="677"/>
      <c r="R95" s="616" t="s">
        <v>706</v>
      </c>
      <c r="S95" s="1048"/>
      <c r="T95" s="70"/>
      <c r="U95" s="1053"/>
      <c r="V95" s="1073"/>
      <c r="W95" s="1043"/>
      <c r="X95" s="1074"/>
      <c r="Y95" s="1046"/>
      <c r="Z95" s="677"/>
      <c r="AA95" s="677"/>
      <c r="AB95" s="1044"/>
      <c r="AC95" s="677"/>
      <c r="AD95" s="677"/>
      <c r="AE95" s="1045"/>
      <c r="AF95" s="677"/>
      <c r="AG95" s="677"/>
      <c r="AH95" s="1045"/>
      <c r="AI95" s="677"/>
      <c r="AJ95" s="677"/>
      <c r="AK95" s="1045"/>
      <c r="AL95" s="677"/>
      <c r="AM95" s="677"/>
      <c r="AN95" s="616" t="s">
        <v>706</v>
      </c>
      <c r="AO95" s="1048"/>
      <c r="AP95" s="70"/>
      <c r="AQ95" s="1053"/>
      <c r="AR95" s="1073"/>
    </row>
    <row r="96" spans="1:44" ht="14.25" customHeight="1" thickBot="1">
      <c r="A96" s="1036">
        <f ca="1">IF(Score!A98="", "",Score!A98)</f>
        <v>5</v>
      </c>
      <c r="B96" s="1040"/>
      <c r="C96" s="1039" t="str">
        <f ca="1">IF(Score!B98="", "",Score!B98)</f>
        <v>80</v>
      </c>
      <c r="D96" s="678"/>
      <c r="E96" s="678"/>
      <c r="F96" s="1037" t="s">
        <v>219</v>
      </c>
      <c r="G96" s="678"/>
      <c r="H96" s="678"/>
      <c r="I96" s="1038" t="s">
        <v>57</v>
      </c>
      <c r="J96" s="678"/>
      <c r="K96" s="678"/>
      <c r="L96" s="1038" t="s">
        <v>227</v>
      </c>
      <c r="M96" s="678"/>
      <c r="N96" s="678"/>
      <c r="O96" s="1038" t="s">
        <v>43</v>
      </c>
      <c r="P96" s="678"/>
      <c r="Q96" s="678"/>
      <c r="R96" s="615" t="s">
        <v>705</v>
      </c>
      <c r="S96" s="1054">
        <f ca="1">IF(A96="", "", SUMIF(SK!B$88:B$162, ROW()+2, SK!D$88:D$162))</f>
        <v>0</v>
      </c>
      <c r="T96" s="70"/>
      <c r="U96" s="1053" t="str">
        <f>IF(U12="","",U12)</f>
        <v>1879</v>
      </c>
      <c r="V96" s="1073" t="str">
        <f>V12</f>
        <v>Belle Isle Hurtya</v>
      </c>
      <c r="W96" s="1036">
        <f ca="1">IF(Score!T98="", "",Score!T98)</f>
        <v>5</v>
      </c>
      <c r="X96" s="1040"/>
      <c r="Y96" s="1039" t="str">
        <f ca="1">IF(Score!U98="", "",Score!U98)</f>
        <v>50</v>
      </c>
      <c r="Z96" s="678"/>
      <c r="AA96" s="678"/>
      <c r="AB96" s="1037" t="s">
        <v>78</v>
      </c>
      <c r="AC96" s="678"/>
      <c r="AD96" s="678"/>
      <c r="AE96" s="1038" t="s">
        <v>362</v>
      </c>
      <c r="AF96" s="678"/>
      <c r="AG96" s="678"/>
      <c r="AH96" s="1038" t="s">
        <v>366</v>
      </c>
      <c r="AI96" s="678"/>
      <c r="AJ96" s="678"/>
      <c r="AK96" s="1038" t="s">
        <v>115</v>
      </c>
      <c r="AL96" s="678"/>
      <c r="AM96" s="678"/>
      <c r="AN96" s="615" t="s">
        <v>705</v>
      </c>
      <c r="AO96" s="1054">
        <f ca="1">IF(W96="", "", SUMIF(SK!R$88:R$162, ROW()+2, SK!T$88:T$162))</f>
        <v>3</v>
      </c>
      <c r="AP96" s="70"/>
      <c r="AQ96" s="1053" t="str">
        <f>IF(AQ12="","",AQ12)</f>
        <v>38DD</v>
      </c>
      <c r="AR96" s="1073" t="str">
        <f>AR12</f>
        <v>Tig O' Hitties</v>
      </c>
    </row>
    <row r="97" spans="1:44" ht="14.25" customHeight="1" thickBot="1">
      <c r="A97" s="1036"/>
      <c r="B97" s="1041"/>
      <c r="C97" s="1039"/>
      <c r="D97" s="676"/>
      <c r="E97" s="676"/>
      <c r="F97" s="1037"/>
      <c r="G97" s="676"/>
      <c r="H97" s="676"/>
      <c r="I97" s="1038"/>
      <c r="J97" s="676"/>
      <c r="K97" s="676"/>
      <c r="L97" s="1038"/>
      <c r="M97" s="676"/>
      <c r="N97" s="676"/>
      <c r="O97" s="1038"/>
      <c r="P97" s="676"/>
      <c r="Q97" s="676"/>
      <c r="R97" s="616" t="s">
        <v>706</v>
      </c>
      <c r="S97" s="1054"/>
      <c r="T97" s="70"/>
      <c r="U97" s="1053"/>
      <c r="V97" s="1073"/>
      <c r="W97" s="1036"/>
      <c r="X97" s="1041"/>
      <c r="Y97" s="1039"/>
      <c r="Z97" s="676"/>
      <c r="AA97" s="676"/>
      <c r="AB97" s="1037"/>
      <c r="AC97" s="676"/>
      <c r="AD97" s="676"/>
      <c r="AE97" s="1038"/>
      <c r="AF97" s="676"/>
      <c r="AG97" s="676"/>
      <c r="AH97" s="1038"/>
      <c r="AI97" s="676"/>
      <c r="AJ97" s="676"/>
      <c r="AK97" s="1038"/>
      <c r="AL97" s="676"/>
      <c r="AM97" s="676"/>
      <c r="AN97" s="616" t="s">
        <v>706</v>
      </c>
      <c r="AO97" s="1054"/>
      <c r="AP97" s="70"/>
      <c r="AQ97" s="1053"/>
      <c r="AR97" s="1073"/>
    </row>
    <row r="98" spans="1:44" ht="14.25" customHeight="1" thickBot="1">
      <c r="A98" s="1043">
        <f ca="1">IF(Score!A100="", "",Score!A100)</f>
        <v>6</v>
      </c>
      <c r="B98" s="1051" t="s">
        <v>531</v>
      </c>
      <c r="C98" s="1046" t="str">
        <f ca="1">IF(Score!B100="", "",Score!B100)</f>
        <v>428</v>
      </c>
      <c r="D98" s="675"/>
      <c r="E98" s="675"/>
      <c r="F98" s="1044" t="s">
        <v>49</v>
      </c>
      <c r="G98" s="675"/>
      <c r="H98" s="675"/>
      <c r="I98" s="1045" t="s">
        <v>51</v>
      </c>
      <c r="J98" s="675"/>
      <c r="K98" s="675"/>
      <c r="L98" s="1045" t="s">
        <v>55</v>
      </c>
      <c r="M98" s="675"/>
      <c r="N98" s="675"/>
      <c r="O98" s="1045" t="s">
        <v>45</v>
      </c>
      <c r="P98" s="675"/>
      <c r="Q98" s="675"/>
      <c r="R98" s="615" t="s">
        <v>705</v>
      </c>
      <c r="S98" s="1047">
        <f ca="1">IF(A98="", "", SUMIF(SK!B$88:B$162, ROW()+2, SK!D$88:D$162))</f>
        <v>0</v>
      </c>
      <c r="T98" s="70"/>
      <c r="U98" s="1053" t="str">
        <f>IF(U14="","",U14)</f>
        <v>20</v>
      </c>
      <c r="V98" s="1073" t="str">
        <f>V14</f>
        <v>Devil Kitty</v>
      </c>
      <c r="W98" s="1043">
        <f ca="1">IF(Score!T100="", "",Score!T100)</f>
        <v>6</v>
      </c>
      <c r="X98" s="1051"/>
      <c r="Y98" s="1046" t="str">
        <f ca="1">IF(Score!U100="", "",Score!U100)</f>
        <v>9.81</v>
      </c>
      <c r="Z98" s="675"/>
      <c r="AA98" s="675"/>
      <c r="AB98" s="1044" t="s">
        <v>80</v>
      </c>
      <c r="AC98" s="675"/>
      <c r="AD98" s="675"/>
      <c r="AE98" s="1045" t="s">
        <v>125</v>
      </c>
      <c r="AF98" s="675" t="s">
        <v>360</v>
      </c>
      <c r="AG98" s="675"/>
      <c r="AH98" s="1045" t="s">
        <v>74</v>
      </c>
      <c r="AI98" s="675"/>
      <c r="AJ98" s="675"/>
      <c r="AK98" s="1045" t="s">
        <v>113</v>
      </c>
      <c r="AL98" s="675"/>
      <c r="AM98" s="675"/>
      <c r="AN98" s="615" t="s">
        <v>705</v>
      </c>
      <c r="AO98" s="1047">
        <f ca="1">IF(W98="", "", SUMIF(SK!R$88:R$162, ROW()+2, SK!T$88:T$162))</f>
        <v>3</v>
      </c>
      <c r="AP98" s="70"/>
      <c r="AQ98" s="1053" t="str">
        <f>IF(AQ14="","",AQ14)</f>
        <v>42</v>
      </c>
      <c r="AR98" s="1073" t="str">
        <f>AR14</f>
        <v>Midnite Vulture</v>
      </c>
    </row>
    <row r="99" spans="1:44" ht="14.25" customHeight="1" thickBot="1">
      <c r="A99" s="1043"/>
      <c r="B99" s="1074"/>
      <c r="C99" s="1046"/>
      <c r="D99" s="677"/>
      <c r="E99" s="677"/>
      <c r="F99" s="1044"/>
      <c r="G99" s="677"/>
      <c r="H99" s="677"/>
      <c r="I99" s="1045"/>
      <c r="J99" s="677"/>
      <c r="K99" s="677"/>
      <c r="L99" s="1045"/>
      <c r="M99" s="677"/>
      <c r="N99" s="677"/>
      <c r="O99" s="1045"/>
      <c r="P99" s="677"/>
      <c r="Q99" s="677"/>
      <c r="R99" s="616" t="s">
        <v>706</v>
      </c>
      <c r="S99" s="1048"/>
      <c r="T99" s="70"/>
      <c r="U99" s="1053"/>
      <c r="V99" s="1073"/>
      <c r="W99" s="1043"/>
      <c r="X99" s="1074"/>
      <c r="Y99" s="1046"/>
      <c r="Z99" s="677"/>
      <c r="AA99" s="677"/>
      <c r="AB99" s="1044"/>
      <c r="AC99" s="677"/>
      <c r="AD99" s="677"/>
      <c r="AE99" s="1045"/>
      <c r="AF99" s="677"/>
      <c r="AG99" s="677"/>
      <c r="AH99" s="1045"/>
      <c r="AI99" s="677"/>
      <c r="AJ99" s="677"/>
      <c r="AK99" s="1045"/>
      <c r="AL99" s="677"/>
      <c r="AM99" s="677"/>
      <c r="AN99" s="616" t="s">
        <v>706</v>
      </c>
      <c r="AO99" s="1048"/>
      <c r="AP99" s="70"/>
      <c r="AQ99" s="1053"/>
      <c r="AR99" s="1073"/>
    </row>
    <row r="100" spans="1:44" ht="14.25" customHeight="1" thickBot="1">
      <c r="A100" s="1036">
        <f ca="1">IF(Score!A102="", "",Score!A102)</f>
        <v>7</v>
      </c>
      <c r="B100" s="1040"/>
      <c r="C100" s="1039" t="str">
        <f ca="1">IF(Score!B102="", "",Score!B102)</f>
        <v>80</v>
      </c>
      <c r="D100" s="678"/>
      <c r="E100" s="678"/>
      <c r="F100" s="1037" t="s">
        <v>57</v>
      </c>
      <c r="G100" s="678"/>
      <c r="H100" s="678"/>
      <c r="I100" s="1038" t="s">
        <v>43</v>
      </c>
      <c r="J100" s="678"/>
      <c r="K100" s="678"/>
      <c r="L100" s="1038" t="s">
        <v>41</v>
      </c>
      <c r="M100" s="678"/>
      <c r="N100" s="678"/>
      <c r="O100" s="1038" t="s">
        <v>221</v>
      </c>
      <c r="P100" s="678"/>
      <c r="Q100" s="678"/>
      <c r="R100" s="615" t="s">
        <v>705</v>
      </c>
      <c r="S100" s="1054">
        <f ca="1">IF(A100="", "", SUMIF(SK!B$88:B$162, ROW()+2, SK!D$88:D$162))</f>
        <v>3</v>
      </c>
      <c r="T100" s="70"/>
      <c r="U100" s="1053" t="str">
        <f>IF(U16="","",U16)</f>
        <v>20KN</v>
      </c>
      <c r="V100" s="1073" t="str">
        <f>V16</f>
        <v>Kraken Whips</v>
      </c>
      <c r="W100" s="1036">
        <f ca="1">IF(Score!T102="", "",Score!T102)</f>
        <v>7</v>
      </c>
      <c r="X100" s="1040"/>
      <c r="Y100" s="1039" t="str">
        <f ca="1">IF(Score!U102="", "",Score!U102)</f>
        <v>620</v>
      </c>
      <c r="Z100" s="678"/>
      <c r="AA100" s="678"/>
      <c r="AB100" s="1037" t="s">
        <v>78</v>
      </c>
      <c r="AC100" s="678"/>
      <c r="AD100" s="678"/>
      <c r="AE100" s="1038" t="s">
        <v>72</v>
      </c>
      <c r="AF100" s="678"/>
      <c r="AG100" s="678"/>
      <c r="AH100" s="1038" t="s">
        <v>362</v>
      </c>
      <c r="AI100" s="678"/>
      <c r="AJ100" s="678"/>
      <c r="AK100" s="1038" t="s">
        <v>125</v>
      </c>
      <c r="AL100" s="678" t="s">
        <v>124</v>
      </c>
      <c r="AM100" s="678"/>
      <c r="AN100" s="615" t="s">
        <v>705</v>
      </c>
      <c r="AO100" s="1054">
        <f ca="1">IF(W100="", "", SUMIF(SK!R$88:R$162, ROW()+2, SK!T$88:T$162))</f>
        <v>2</v>
      </c>
      <c r="AP100" s="70"/>
      <c r="AQ100" s="1053" t="str">
        <f>IF(AQ16="","",AQ16)</f>
        <v>50</v>
      </c>
      <c r="AR100" s="1073" t="str">
        <f>AR16</f>
        <v>Sam-I-Slam</v>
      </c>
    </row>
    <row r="101" spans="1:44" ht="14.25" customHeight="1" thickBot="1">
      <c r="A101" s="1036"/>
      <c r="B101" s="1041"/>
      <c r="C101" s="1039"/>
      <c r="D101" s="676"/>
      <c r="E101" s="676"/>
      <c r="F101" s="1037"/>
      <c r="G101" s="676"/>
      <c r="H101" s="676"/>
      <c r="I101" s="1038"/>
      <c r="J101" s="676"/>
      <c r="K101" s="676"/>
      <c r="L101" s="1038"/>
      <c r="M101" s="676"/>
      <c r="N101" s="676"/>
      <c r="O101" s="1038"/>
      <c r="P101" s="676"/>
      <c r="Q101" s="676"/>
      <c r="R101" s="616" t="s">
        <v>706</v>
      </c>
      <c r="S101" s="1054"/>
      <c r="T101" s="70"/>
      <c r="U101" s="1053"/>
      <c r="V101" s="1073"/>
      <c r="W101" s="1036"/>
      <c r="X101" s="1041"/>
      <c r="Y101" s="1039"/>
      <c r="Z101" s="676"/>
      <c r="AA101" s="676"/>
      <c r="AB101" s="1037"/>
      <c r="AC101" s="676"/>
      <c r="AD101" s="676"/>
      <c r="AE101" s="1038"/>
      <c r="AF101" s="676"/>
      <c r="AG101" s="676"/>
      <c r="AH101" s="1038"/>
      <c r="AI101" s="676"/>
      <c r="AJ101" s="676"/>
      <c r="AK101" s="1038"/>
      <c r="AL101" s="676"/>
      <c r="AM101" s="676"/>
      <c r="AN101" s="616" t="s">
        <v>706</v>
      </c>
      <c r="AO101" s="1054"/>
      <c r="AP101" s="70"/>
      <c r="AQ101" s="1053"/>
      <c r="AR101" s="1073"/>
    </row>
    <row r="102" spans="1:44" ht="14.25" customHeight="1" thickBot="1">
      <c r="A102" s="1043">
        <f ca="1">IF(Score!A104="", "",Score!A104)</f>
        <v>8</v>
      </c>
      <c r="B102" s="1051"/>
      <c r="C102" s="1046" t="str">
        <f ca="1">IF(Score!B104="", "",Score!B104)</f>
        <v>428</v>
      </c>
      <c r="D102" s="675"/>
      <c r="E102" s="675"/>
      <c r="F102" s="1044" t="s">
        <v>51</v>
      </c>
      <c r="G102" s="675"/>
      <c r="H102" s="675"/>
      <c r="I102" s="1045" t="s">
        <v>47</v>
      </c>
      <c r="J102" s="675"/>
      <c r="K102" s="675"/>
      <c r="L102" s="1045" t="s">
        <v>227</v>
      </c>
      <c r="M102" s="675"/>
      <c r="N102" s="675"/>
      <c r="O102" s="1045" t="s">
        <v>55</v>
      </c>
      <c r="P102" s="675"/>
      <c r="Q102" s="675"/>
      <c r="R102" s="615" t="s">
        <v>705</v>
      </c>
      <c r="S102" s="1047">
        <f ca="1">IF(A102="", "", SUMIF(SK!B$88:B$162, ROW()+2, SK!D$88:D$162))</f>
        <v>0</v>
      </c>
      <c r="T102" s="70"/>
      <c r="U102" s="1053" t="str">
        <f>IF(U18="","",U18)</f>
        <v>212</v>
      </c>
      <c r="V102" s="1073" t="str">
        <f>V18</f>
        <v>Wham!tramck</v>
      </c>
      <c r="W102" s="1043">
        <f ca="1">IF(Score!T104="", "",Score!T104)</f>
        <v>8</v>
      </c>
      <c r="X102" s="1051"/>
      <c r="Y102" s="1046" t="str">
        <f ca="1">IF(Score!U104="", "",Score!U104)</f>
        <v>50</v>
      </c>
      <c r="Z102" s="675"/>
      <c r="AA102" s="675"/>
      <c r="AB102" s="1044" t="s">
        <v>80</v>
      </c>
      <c r="AC102" s="675"/>
      <c r="AD102" s="675"/>
      <c r="AE102" s="1045" t="s">
        <v>113</v>
      </c>
      <c r="AF102" s="675"/>
      <c r="AG102" s="675"/>
      <c r="AH102" s="1045" t="s">
        <v>358</v>
      </c>
      <c r="AI102" s="675"/>
      <c r="AJ102" s="675"/>
      <c r="AK102" s="1045" t="s">
        <v>125</v>
      </c>
      <c r="AL102" s="675" t="s">
        <v>124</v>
      </c>
      <c r="AM102" s="675" t="s">
        <v>126</v>
      </c>
      <c r="AN102" s="615" t="s">
        <v>705</v>
      </c>
      <c r="AO102" s="1047">
        <f ca="1">IF(W102="", "", SUMIF(SK!R$88:R$162, ROW()+2, SK!T$88:T$162))</f>
        <v>12</v>
      </c>
      <c r="AP102" s="70"/>
      <c r="AQ102" s="1053" t="str">
        <f>IF(AQ18="","",AQ18)</f>
        <v>620</v>
      </c>
      <c r="AR102" s="1073" t="str">
        <f>AR18</f>
        <v>Lazer Beam</v>
      </c>
    </row>
    <row r="103" spans="1:44" ht="14.25" customHeight="1" thickBot="1">
      <c r="A103" s="1043"/>
      <c r="B103" s="1074"/>
      <c r="C103" s="1046"/>
      <c r="D103" s="677"/>
      <c r="E103" s="677"/>
      <c r="F103" s="1044"/>
      <c r="G103" s="677"/>
      <c r="H103" s="677"/>
      <c r="I103" s="1045"/>
      <c r="J103" s="677"/>
      <c r="K103" s="677"/>
      <c r="L103" s="1045"/>
      <c r="M103" s="677"/>
      <c r="N103" s="677"/>
      <c r="O103" s="1045"/>
      <c r="P103" s="677"/>
      <c r="Q103" s="677"/>
      <c r="R103" s="616" t="s">
        <v>706</v>
      </c>
      <c r="S103" s="1048"/>
      <c r="T103" s="70"/>
      <c r="U103" s="1053"/>
      <c r="V103" s="1073"/>
      <c r="W103" s="1043"/>
      <c r="X103" s="1074"/>
      <c r="Y103" s="1046"/>
      <c r="Z103" s="677"/>
      <c r="AA103" s="677"/>
      <c r="AB103" s="1044"/>
      <c r="AC103" s="677"/>
      <c r="AD103" s="677"/>
      <c r="AE103" s="1045"/>
      <c r="AF103" s="677"/>
      <c r="AG103" s="677"/>
      <c r="AH103" s="1045"/>
      <c r="AI103" s="677"/>
      <c r="AJ103" s="677"/>
      <c r="AK103" s="1045"/>
      <c r="AL103" s="677"/>
      <c r="AM103" s="677"/>
      <c r="AN103" s="616" t="s">
        <v>706</v>
      </c>
      <c r="AO103" s="1048"/>
      <c r="AP103" s="70"/>
      <c r="AQ103" s="1053"/>
      <c r="AR103" s="1073"/>
    </row>
    <row r="104" spans="1:44" ht="14.25" customHeight="1" thickBot="1">
      <c r="A104" s="1036">
        <f ca="1">IF(Score!A106="", "",Score!A106)</f>
        <v>9</v>
      </c>
      <c r="B104" s="1040"/>
      <c r="C104" s="1039" t="str">
        <f ca="1">IF(Score!B106="", "",Score!B106)</f>
        <v>80</v>
      </c>
      <c r="D104" s="678"/>
      <c r="E104" s="678"/>
      <c r="F104" s="1037" t="s">
        <v>219</v>
      </c>
      <c r="G104" s="678"/>
      <c r="H104" s="678"/>
      <c r="I104" s="1038" t="s">
        <v>45</v>
      </c>
      <c r="J104" s="678"/>
      <c r="K104" s="678"/>
      <c r="L104" s="1038" t="s">
        <v>43</v>
      </c>
      <c r="M104" s="678"/>
      <c r="N104" s="678"/>
      <c r="O104" s="1038" t="s">
        <v>57</v>
      </c>
      <c r="P104" s="678" t="s">
        <v>360</v>
      </c>
      <c r="Q104" s="678"/>
      <c r="R104" s="615" t="s">
        <v>705</v>
      </c>
      <c r="S104" s="1054">
        <f ca="1">IF(A104="", "", SUMIF(SK!B$88:B$162, ROW()+2, SK!D$88:D$162))</f>
        <v>4</v>
      </c>
      <c r="T104" s="70"/>
      <c r="U104" s="1053" t="str">
        <f>IF(U20="","",U20)</f>
        <v>33 1/3</v>
      </c>
      <c r="V104" s="1073" t="str">
        <f>V20</f>
        <v>Cookie Rumble</v>
      </c>
      <c r="W104" s="1036">
        <f ca="1">IF(Score!T106="", "",Score!T106)</f>
        <v>9</v>
      </c>
      <c r="X104" s="1040"/>
      <c r="Y104" s="1039" t="str">
        <f ca="1">IF(Score!U106="", "",Score!U106)</f>
        <v>9.81</v>
      </c>
      <c r="Z104" s="678"/>
      <c r="AA104" s="678"/>
      <c r="AB104" s="1037" t="s">
        <v>78</v>
      </c>
      <c r="AC104" s="678"/>
      <c r="AD104" s="678"/>
      <c r="AE104" s="1038" t="s">
        <v>366</v>
      </c>
      <c r="AF104" s="678"/>
      <c r="AG104" s="678"/>
      <c r="AH104" s="1038" t="s">
        <v>364</v>
      </c>
      <c r="AI104" s="678"/>
      <c r="AJ104" s="678"/>
      <c r="AK104" s="1038" t="s">
        <v>362</v>
      </c>
      <c r="AL104" s="678"/>
      <c r="AM104" s="678"/>
      <c r="AN104" s="615" t="s">
        <v>705</v>
      </c>
      <c r="AO104" s="1054">
        <f ca="1">IF(W104="", "", SUMIF(SK!R$88:R$162, ROW()+2, SK!T$88:T$162))</f>
        <v>0</v>
      </c>
      <c r="AP104" s="70"/>
      <c r="AQ104" s="1053" t="str">
        <f>IF(AQ20="","",AQ20)</f>
        <v>7</v>
      </c>
      <c r="AR104" s="1073" t="str">
        <f>AR20</f>
        <v>CottonCandy Princess</v>
      </c>
    </row>
    <row r="105" spans="1:44" ht="14.25" customHeight="1" thickBot="1">
      <c r="A105" s="1036"/>
      <c r="B105" s="1041"/>
      <c r="C105" s="1039"/>
      <c r="D105" s="676"/>
      <c r="E105" s="676"/>
      <c r="F105" s="1037"/>
      <c r="G105" s="676"/>
      <c r="H105" s="676"/>
      <c r="I105" s="1038"/>
      <c r="J105" s="676"/>
      <c r="K105" s="676"/>
      <c r="L105" s="1038"/>
      <c r="M105" s="676"/>
      <c r="N105" s="676"/>
      <c r="O105" s="1038"/>
      <c r="P105" s="676"/>
      <c r="Q105" s="676"/>
      <c r="R105" s="616" t="s">
        <v>706</v>
      </c>
      <c r="S105" s="1054"/>
      <c r="T105" s="70"/>
      <c r="U105" s="1053"/>
      <c r="V105" s="1073"/>
      <c r="W105" s="1036"/>
      <c r="X105" s="1041"/>
      <c r="Y105" s="1039"/>
      <c r="Z105" s="676"/>
      <c r="AA105" s="676"/>
      <c r="AB105" s="1037"/>
      <c r="AC105" s="676"/>
      <c r="AD105" s="676"/>
      <c r="AE105" s="1038"/>
      <c r="AF105" s="676"/>
      <c r="AG105" s="676"/>
      <c r="AH105" s="1038"/>
      <c r="AI105" s="676"/>
      <c r="AJ105" s="676"/>
      <c r="AK105" s="1038"/>
      <c r="AL105" s="676"/>
      <c r="AM105" s="676"/>
      <c r="AN105" s="616" t="s">
        <v>706</v>
      </c>
      <c r="AO105" s="1054"/>
      <c r="AP105" s="70"/>
      <c r="AQ105" s="1053"/>
      <c r="AR105" s="1073"/>
    </row>
    <row r="106" spans="1:44" ht="14.25" customHeight="1" thickBot="1">
      <c r="A106" s="1043">
        <f ca="1">IF(Score!A108="", "",Score!A108)</f>
        <v>10</v>
      </c>
      <c r="B106" s="1051"/>
      <c r="C106" s="1046" t="str">
        <f ca="1">IF(Score!B108="", "",Score!B108)</f>
        <v>428</v>
      </c>
      <c r="D106" s="675" t="s">
        <v>127</v>
      </c>
      <c r="E106" s="675"/>
      <c r="F106" s="1044" t="s">
        <v>51</v>
      </c>
      <c r="G106" s="675"/>
      <c r="H106" s="675"/>
      <c r="I106" s="1045" t="s">
        <v>47</v>
      </c>
      <c r="J106" s="675"/>
      <c r="K106" s="675"/>
      <c r="L106" s="1045" t="s">
        <v>53</v>
      </c>
      <c r="M106" s="675"/>
      <c r="N106" s="675"/>
      <c r="O106" s="1045" t="s">
        <v>57</v>
      </c>
      <c r="P106" s="675" t="s">
        <v>124</v>
      </c>
      <c r="Q106" s="675" t="s">
        <v>701</v>
      </c>
      <c r="R106" s="615" t="s">
        <v>705</v>
      </c>
      <c r="S106" s="1047">
        <f ca="1">IF(A106="", "", SUMIF(SK!B$88:B$162, ROW()+2, SK!D$88:D$162))</f>
        <v>0</v>
      </c>
      <c r="T106" s="70"/>
      <c r="U106" s="1053" t="str">
        <f>IF(U22="","",U22)</f>
        <v>428</v>
      </c>
      <c r="V106" s="1073" t="str">
        <f>V22</f>
        <v>Freakin' Rican</v>
      </c>
      <c r="W106" s="1043">
        <f ca="1">IF(Score!T108="", "",Score!T108)</f>
        <v>10</v>
      </c>
      <c r="X106" s="1051"/>
      <c r="Y106" s="1046" t="str">
        <f ca="1">IF(Score!U108="", "",Score!U108)</f>
        <v>620</v>
      </c>
      <c r="Z106" s="675"/>
      <c r="AA106" s="675"/>
      <c r="AB106" s="1044" t="s">
        <v>80</v>
      </c>
      <c r="AC106" s="675"/>
      <c r="AD106" s="675"/>
      <c r="AE106" s="1045" t="s">
        <v>237</v>
      </c>
      <c r="AF106" s="675"/>
      <c r="AG106" s="675"/>
      <c r="AH106" s="1045" t="s">
        <v>72</v>
      </c>
      <c r="AI106" s="675"/>
      <c r="AJ106" s="675"/>
      <c r="AK106" s="1045" t="s">
        <v>113</v>
      </c>
      <c r="AL106" s="675"/>
      <c r="AM106" s="675"/>
      <c r="AN106" s="615" t="s">
        <v>705</v>
      </c>
      <c r="AO106" s="1047">
        <f ca="1">IF(W106="", "", SUMIF(SK!R$88:R$162, ROW()+2, SK!T$88:T$162))</f>
        <v>19</v>
      </c>
      <c r="AP106" s="70"/>
      <c r="AQ106" s="1053" t="str">
        <f>IF(AQ22="","",AQ22)</f>
        <v>72</v>
      </c>
      <c r="AR106" s="1073" t="str">
        <f>AR22</f>
        <v>Demonica Mars</v>
      </c>
    </row>
    <row r="107" spans="1:44" ht="14.25" customHeight="1" thickBot="1">
      <c r="A107" s="1043"/>
      <c r="B107" s="1074"/>
      <c r="C107" s="1046"/>
      <c r="D107" s="677"/>
      <c r="E107" s="677"/>
      <c r="F107" s="1044"/>
      <c r="G107" s="677"/>
      <c r="H107" s="677"/>
      <c r="I107" s="1045"/>
      <c r="J107" s="677"/>
      <c r="K107" s="677"/>
      <c r="L107" s="1045"/>
      <c r="M107" s="677"/>
      <c r="N107" s="677"/>
      <c r="O107" s="1045"/>
      <c r="P107" s="677"/>
      <c r="Q107" s="677"/>
      <c r="R107" s="616" t="s">
        <v>706</v>
      </c>
      <c r="S107" s="1048"/>
      <c r="T107" s="70"/>
      <c r="U107" s="1053"/>
      <c r="V107" s="1073"/>
      <c r="W107" s="1043"/>
      <c r="X107" s="1074"/>
      <c r="Y107" s="1046"/>
      <c r="Z107" s="677"/>
      <c r="AA107" s="677"/>
      <c r="AB107" s="1044"/>
      <c r="AC107" s="677"/>
      <c r="AD107" s="677"/>
      <c r="AE107" s="1045"/>
      <c r="AF107" s="677"/>
      <c r="AG107" s="677"/>
      <c r="AH107" s="1045"/>
      <c r="AI107" s="677"/>
      <c r="AJ107" s="677"/>
      <c r="AK107" s="1045"/>
      <c r="AL107" s="677"/>
      <c r="AM107" s="677"/>
      <c r="AN107" s="616" t="s">
        <v>706</v>
      </c>
      <c r="AO107" s="1048"/>
      <c r="AP107" s="70"/>
      <c r="AQ107" s="1053"/>
      <c r="AR107" s="1073"/>
    </row>
    <row r="108" spans="1:44" ht="14.25" customHeight="1" thickBot="1">
      <c r="A108" s="1036">
        <f ca="1">IF(Score!A110="", "",Score!A110)</f>
        <v>11</v>
      </c>
      <c r="B108" s="1040"/>
      <c r="C108" s="1039" t="str">
        <f ca="1">IF(Score!B110="", "",Score!B110)</f>
        <v>428</v>
      </c>
      <c r="D108" s="678" t="s">
        <v>124</v>
      </c>
      <c r="E108" s="678" t="s">
        <v>126</v>
      </c>
      <c r="F108" s="1037" t="s">
        <v>219</v>
      </c>
      <c r="G108" s="678"/>
      <c r="H108" s="678"/>
      <c r="I108" s="1038" t="s">
        <v>41</v>
      </c>
      <c r="J108" s="678"/>
      <c r="K108" s="678"/>
      <c r="L108" s="1038" t="s">
        <v>221</v>
      </c>
      <c r="M108" s="678"/>
      <c r="N108" s="678"/>
      <c r="O108" s="1038" t="s">
        <v>45</v>
      </c>
      <c r="P108" s="678"/>
      <c r="Q108" s="678"/>
      <c r="R108" s="615" t="s">
        <v>705</v>
      </c>
      <c r="S108" s="1054">
        <f ca="1">IF(A108="", "", SUMIF(SK!B$88:B$162, ROW()+2, SK!D$88:D$162))</f>
        <v>8</v>
      </c>
      <c r="T108" s="70"/>
      <c r="U108" s="1053" t="str">
        <f>IF(U24="","",U24)</f>
        <v>6</v>
      </c>
      <c r="V108" s="1073" t="str">
        <f>V24</f>
        <v>Elle McFearsome</v>
      </c>
      <c r="W108" s="1036">
        <f ca="1">IF(Score!T110="", "",Score!T110)</f>
        <v>11</v>
      </c>
      <c r="X108" s="1040"/>
      <c r="Y108" s="1039" t="str">
        <f ca="1">IF(Score!U110="", "",Score!U110)</f>
        <v>9.81</v>
      </c>
      <c r="Z108" s="678"/>
      <c r="AA108" s="678"/>
      <c r="AB108" s="1037" t="s">
        <v>78</v>
      </c>
      <c r="AC108" s="678"/>
      <c r="AD108" s="678"/>
      <c r="AE108" s="1038" t="s">
        <v>362</v>
      </c>
      <c r="AF108" s="678"/>
      <c r="AG108" s="678"/>
      <c r="AH108" s="1038" t="s">
        <v>115</v>
      </c>
      <c r="AI108" s="678"/>
      <c r="AJ108" s="678"/>
      <c r="AK108" s="1038" t="s">
        <v>125</v>
      </c>
      <c r="AL108" s="678"/>
      <c r="AM108" s="678"/>
      <c r="AN108" s="615" t="s">
        <v>705</v>
      </c>
      <c r="AO108" s="1054">
        <f ca="1">IF(W108="", "", SUMIF(SK!R$88:R$162, ROW()+2, SK!T$88:T$162))</f>
        <v>0</v>
      </c>
      <c r="AP108" s="70"/>
      <c r="AQ108" s="1053" t="str">
        <f>IF(AQ24="","",AQ24)</f>
        <v>9.81</v>
      </c>
      <c r="AR108" s="1073" t="str">
        <f>AR24</f>
        <v>Uhura Belle Death</v>
      </c>
    </row>
    <row r="109" spans="1:44" ht="14.25" customHeight="1" thickBot="1">
      <c r="A109" s="1036"/>
      <c r="B109" s="1041"/>
      <c r="C109" s="1039"/>
      <c r="D109" s="676"/>
      <c r="E109" s="676"/>
      <c r="F109" s="1037"/>
      <c r="G109" s="676"/>
      <c r="H109" s="676"/>
      <c r="I109" s="1038"/>
      <c r="J109" s="676"/>
      <c r="K109" s="676"/>
      <c r="L109" s="1038"/>
      <c r="M109" s="676"/>
      <c r="N109" s="676"/>
      <c r="O109" s="1038"/>
      <c r="P109" s="676"/>
      <c r="Q109" s="676"/>
      <c r="R109" s="616" t="s">
        <v>706</v>
      </c>
      <c r="S109" s="1054"/>
      <c r="T109" s="70"/>
      <c r="U109" s="1053"/>
      <c r="V109" s="1073"/>
      <c r="W109" s="1036"/>
      <c r="X109" s="1041"/>
      <c r="Y109" s="1039"/>
      <c r="Z109" s="676"/>
      <c r="AA109" s="676"/>
      <c r="AB109" s="1037"/>
      <c r="AC109" s="676"/>
      <c r="AD109" s="676"/>
      <c r="AE109" s="1038"/>
      <c r="AF109" s="676"/>
      <c r="AG109" s="676"/>
      <c r="AH109" s="1038"/>
      <c r="AI109" s="676"/>
      <c r="AJ109" s="676"/>
      <c r="AK109" s="1038"/>
      <c r="AL109" s="676"/>
      <c r="AM109" s="676"/>
      <c r="AN109" s="616" t="s">
        <v>706</v>
      </c>
      <c r="AO109" s="1054"/>
      <c r="AP109" s="70"/>
      <c r="AQ109" s="1053"/>
      <c r="AR109" s="1073"/>
    </row>
    <row r="110" spans="1:44" ht="14.25" customHeight="1" thickBot="1">
      <c r="A110" s="1043">
        <f ca="1">IF(Score!A112="", "",Score!A112)</f>
        <v>12</v>
      </c>
      <c r="B110" s="1051"/>
      <c r="C110" s="1046" t="str">
        <f ca="1">IF(Score!B112="", "",Score!B112)</f>
        <v>80</v>
      </c>
      <c r="D110" s="675"/>
      <c r="E110" s="675"/>
      <c r="F110" s="1044" t="s">
        <v>51</v>
      </c>
      <c r="G110" s="675"/>
      <c r="H110" s="675"/>
      <c r="I110" s="1045" t="s">
        <v>53</v>
      </c>
      <c r="J110" s="675"/>
      <c r="K110" s="675"/>
      <c r="L110" s="1045" t="s">
        <v>49</v>
      </c>
      <c r="M110" s="675"/>
      <c r="N110" s="675"/>
      <c r="O110" s="1045" t="s">
        <v>57</v>
      </c>
      <c r="P110" s="675"/>
      <c r="Q110" s="675"/>
      <c r="R110" s="615" t="s">
        <v>705</v>
      </c>
      <c r="S110" s="1047">
        <f ca="1">IF(A110="", "", SUMIF(SK!B$88:B$162, ROW()+2, SK!D$88:D$162))</f>
        <v>0</v>
      </c>
      <c r="T110" s="70"/>
      <c r="U110" s="1053" t="str">
        <f>IF(U26="","",U26)</f>
        <v>728</v>
      </c>
      <c r="V110" s="1073" t="str">
        <f>V26</f>
        <v>Combat Cat</v>
      </c>
      <c r="W110" s="1043">
        <f ca="1">IF(Score!T112="", "",Score!T112)</f>
        <v>12</v>
      </c>
      <c r="X110" s="1051"/>
      <c r="Y110" s="1046" t="str">
        <f ca="1">IF(Score!U112="", "",Score!U112)</f>
        <v>50</v>
      </c>
      <c r="Z110" s="675"/>
      <c r="AA110" s="675"/>
      <c r="AB110" s="1044" t="s">
        <v>80</v>
      </c>
      <c r="AC110" s="675"/>
      <c r="AD110" s="675"/>
      <c r="AE110" s="1045" t="s">
        <v>366</v>
      </c>
      <c r="AF110" s="675"/>
      <c r="AG110" s="675"/>
      <c r="AH110" s="1045" t="s">
        <v>74</v>
      </c>
      <c r="AI110" s="675"/>
      <c r="AJ110" s="675"/>
      <c r="AK110" s="1045" t="s">
        <v>364</v>
      </c>
      <c r="AL110" s="675"/>
      <c r="AM110" s="675"/>
      <c r="AN110" s="615" t="s">
        <v>705</v>
      </c>
      <c r="AO110" s="1047">
        <f ca="1">IF(W110="", "", SUMIF(SK!R$88:R$162, ROW()+2, SK!T$88:T$162))</f>
        <v>0</v>
      </c>
      <c r="AP110" s="70"/>
      <c r="AQ110" s="1053" t="str">
        <f>IF(AQ26="","",AQ26)</f>
        <v>I-75</v>
      </c>
      <c r="AR110" s="1073" t="str">
        <f>AR26</f>
        <v>Diesel Doll</v>
      </c>
    </row>
    <row r="111" spans="1:44" ht="14.25" customHeight="1" thickBot="1">
      <c r="A111" s="1043"/>
      <c r="B111" s="1074"/>
      <c r="C111" s="1046"/>
      <c r="D111" s="677"/>
      <c r="E111" s="677"/>
      <c r="F111" s="1044"/>
      <c r="G111" s="677"/>
      <c r="H111" s="677"/>
      <c r="I111" s="1045"/>
      <c r="J111" s="677"/>
      <c r="K111" s="677"/>
      <c r="L111" s="1045"/>
      <c r="M111" s="677"/>
      <c r="N111" s="677"/>
      <c r="O111" s="1045"/>
      <c r="P111" s="677"/>
      <c r="Q111" s="677"/>
      <c r="R111" s="616" t="s">
        <v>706</v>
      </c>
      <c r="S111" s="1048"/>
      <c r="T111" s="70"/>
      <c r="U111" s="1053"/>
      <c r="V111" s="1073"/>
      <c r="W111" s="1043"/>
      <c r="X111" s="1074"/>
      <c r="Y111" s="1046"/>
      <c r="Z111" s="677"/>
      <c r="AA111" s="677"/>
      <c r="AB111" s="1044"/>
      <c r="AC111" s="677"/>
      <c r="AD111" s="677"/>
      <c r="AE111" s="1045"/>
      <c r="AF111" s="677"/>
      <c r="AG111" s="677"/>
      <c r="AH111" s="1045"/>
      <c r="AI111" s="677"/>
      <c r="AJ111" s="677"/>
      <c r="AK111" s="1045"/>
      <c r="AL111" s="677"/>
      <c r="AM111" s="677"/>
      <c r="AN111" s="616" t="s">
        <v>706</v>
      </c>
      <c r="AO111" s="1048"/>
      <c r="AP111" s="70"/>
      <c r="AQ111" s="1053"/>
      <c r="AR111" s="1073"/>
    </row>
    <row r="112" spans="1:44" ht="14.25" customHeight="1" thickBot="1">
      <c r="A112" s="1036">
        <f ca="1">IF(Score!A114="", "",Score!A114)</f>
        <v>13</v>
      </c>
      <c r="B112" s="1040"/>
      <c r="C112" s="1039" t="str">
        <f ca="1">IF(Score!B114="", "",Score!B114)</f>
        <v>33 1/3</v>
      </c>
      <c r="D112" s="678"/>
      <c r="E112" s="678"/>
      <c r="F112" s="1037" t="s">
        <v>219</v>
      </c>
      <c r="G112" s="678"/>
      <c r="H112" s="678"/>
      <c r="I112" s="1038" t="s">
        <v>221</v>
      </c>
      <c r="J112" s="678"/>
      <c r="K112" s="678"/>
      <c r="L112" s="1038" t="s">
        <v>227</v>
      </c>
      <c r="M112" s="678"/>
      <c r="N112" s="678"/>
      <c r="O112" s="1038" t="s">
        <v>43</v>
      </c>
      <c r="P112" s="678"/>
      <c r="Q112" s="678"/>
      <c r="R112" s="615" t="s">
        <v>705</v>
      </c>
      <c r="S112" s="1054">
        <f ca="1">IF(A112="", "", SUMIF(SK!B$88:B$162, ROW()+2, SK!D$88:D$162))</f>
        <v>10</v>
      </c>
      <c r="T112" s="70"/>
      <c r="U112" s="1053" t="str">
        <f>IF(U28="","",U28)</f>
        <v>80</v>
      </c>
      <c r="V112" s="1073" t="str">
        <f>V28</f>
        <v>Mean Streak</v>
      </c>
      <c r="W112" s="1036">
        <f ca="1">IF(Score!T114="", "",Score!T114)</f>
        <v>13</v>
      </c>
      <c r="X112" s="1040"/>
      <c r="Y112" s="1039" t="str">
        <f ca="1">IF(Score!U114="", "",Score!U114)</f>
        <v>620</v>
      </c>
      <c r="Z112" s="678" t="s">
        <v>360</v>
      </c>
      <c r="AA112" s="678"/>
      <c r="AB112" s="1037" t="s">
        <v>80</v>
      </c>
      <c r="AC112" s="678"/>
      <c r="AD112" s="678"/>
      <c r="AE112" s="1038" t="s">
        <v>362</v>
      </c>
      <c r="AF112" s="678"/>
      <c r="AG112" s="678"/>
      <c r="AH112" s="1038" t="s">
        <v>72</v>
      </c>
      <c r="AI112" s="678"/>
      <c r="AJ112" s="678"/>
      <c r="AK112" s="1038" t="s">
        <v>358</v>
      </c>
      <c r="AL112" s="678"/>
      <c r="AM112" s="678"/>
      <c r="AN112" s="615" t="s">
        <v>705</v>
      </c>
      <c r="AO112" s="1054">
        <f ca="1">IF(W112="", "", SUMIF(SK!R$88:R$162, ROW()+2, SK!T$88:T$162))</f>
        <v>0</v>
      </c>
      <c r="AP112" s="70"/>
      <c r="AQ112" s="1053" t="str">
        <f>IF(AQ28="","",AQ28)</f>
        <v>N2O</v>
      </c>
      <c r="AR112" s="1073" t="str">
        <f>AR28</f>
        <v>Cool Whip</v>
      </c>
    </row>
    <row r="113" spans="1:44" ht="14.25" customHeight="1" thickBot="1">
      <c r="A113" s="1036"/>
      <c r="B113" s="1041"/>
      <c r="C113" s="1039"/>
      <c r="D113" s="676"/>
      <c r="E113" s="676"/>
      <c r="F113" s="1037"/>
      <c r="G113" s="676"/>
      <c r="H113" s="676"/>
      <c r="I113" s="1038"/>
      <c r="J113" s="676"/>
      <c r="K113" s="676"/>
      <c r="L113" s="1038"/>
      <c r="M113" s="676"/>
      <c r="N113" s="676"/>
      <c r="O113" s="1038"/>
      <c r="P113" s="676"/>
      <c r="Q113" s="676"/>
      <c r="R113" s="616" t="s">
        <v>706</v>
      </c>
      <c r="S113" s="1054"/>
      <c r="T113" s="70"/>
      <c r="U113" s="1053"/>
      <c r="V113" s="1073"/>
      <c r="W113" s="1036"/>
      <c r="X113" s="1041"/>
      <c r="Y113" s="1039"/>
      <c r="Z113" s="676"/>
      <c r="AA113" s="676"/>
      <c r="AB113" s="1037"/>
      <c r="AC113" s="676"/>
      <c r="AD113" s="676"/>
      <c r="AE113" s="1038"/>
      <c r="AF113" s="676"/>
      <c r="AG113" s="676"/>
      <c r="AH113" s="1038"/>
      <c r="AI113" s="676"/>
      <c r="AJ113" s="676"/>
      <c r="AK113" s="1038"/>
      <c r="AL113" s="676"/>
      <c r="AM113" s="676"/>
      <c r="AN113" s="616" t="s">
        <v>706</v>
      </c>
      <c r="AO113" s="1054"/>
      <c r="AP113" s="70"/>
      <c r="AQ113" s="1053"/>
      <c r="AR113" s="1073"/>
    </row>
    <row r="114" spans="1:44" ht="14.25" customHeight="1" thickBot="1">
      <c r="A114" s="1043">
        <f ca="1">IF(Score!A116="", "",Score!A116)</f>
        <v>14</v>
      </c>
      <c r="B114" s="1051"/>
      <c r="C114" s="1046" t="str">
        <f ca="1">IF(Score!B116="", "",Score!B116)</f>
        <v>428</v>
      </c>
      <c r="D114" s="675"/>
      <c r="E114" s="675"/>
      <c r="F114" s="1044" t="s">
        <v>51</v>
      </c>
      <c r="G114" s="675"/>
      <c r="H114" s="675"/>
      <c r="I114" s="1045" t="s">
        <v>55</v>
      </c>
      <c r="J114" s="675"/>
      <c r="K114" s="675"/>
      <c r="L114" s="1045" t="s">
        <v>47</v>
      </c>
      <c r="M114" s="675"/>
      <c r="N114" s="675"/>
      <c r="O114" s="1045" t="s">
        <v>45</v>
      </c>
      <c r="P114" s="675"/>
      <c r="Q114" s="675"/>
      <c r="R114" s="615" t="s">
        <v>705</v>
      </c>
      <c r="S114" s="1047">
        <f ca="1">IF(A114="", "", SUMIF(SK!B$88:B$162, ROW()+2, SK!D$88:D$162))</f>
        <v>2</v>
      </c>
      <c r="T114" s="70"/>
      <c r="U114" s="1057" t="str">
        <f>IF(U30="","",U30)</f>
        <v>9.99</v>
      </c>
      <c r="V114" s="1075" t="str">
        <f>V30</f>
        <v>U.S.S. DentHerPrize</v>
      </c>
      <c r="W114" s="1043">
        <f ca="1">IF(Score!T116="", "",Score!T116)</f>
        <v>14</v>
      </c>
      <c r="X114" s="1051"/>
      <c r="Y114" s="1046" t="str">
        <f ca="1">IF(Score!U116="", "",Score!U116)</f>
        <v>620</v>
      </c>
      <c r="Z114" s="675" t="s">
        <v>124</v>
      </c>
      <c r="AA114" s="675" t="s">
        <v>360</v>
      </c>
      <c r="AB114" s="1044" t="s">
        <v>113</v>
      </c>
      <c r="AC114" s="675"/>
      <c r="AD114" s="675"/>
      <c r="AE114" s="1045" t="s">
        <v>364</v>
      </c>
      <c r="AF114" s="675"/>
      <c r="AG114" s="675"/>
      <c r="AH114" s="1045" t="s">
        <v>366</v>
      </c>
      <c r="AI114" s="675"/>
      <c r="AJ114" s="675"/>
      <c r="AK114" s="1045" t="s">
        <v>125</v>
      </c>
      <c r="AL114" s="675"/>
      <c r="AM114" s="675"/>
      <c r="AN114" s="615" t="s">
        <v>705</v>
      </c>
      <c r="AO114" s="1047">
        <f ca="1">IF(W114="", "", SUMIF(SK!R$88:R$162, ROW()+2, SK!T$88:T$162))</f>
        <v>1</v>
      </c>
      <c r="AP114" s="70"/>
      <c r="AQ114" s="1053" t="str">
        <f>IF(AQ30="","",AQ30)</f>
        <v>W00T</v>
      </c>
      <c r="AR114" s="1073" t="str">
        <f>AR30</f>
        <v>Genniferal</v>
      </c>
    </row>
    <row r="115" spans="1:44" ht="14.25" customHeight="1" thickBot="1">
      <c r="A115" s="1043"/>
      <c r="B115" s="1074"/>
      <c r="C115" s="1046"/>
      <c r="D115" s="677"/>
      <c r="E115" s="677"/>
      <c r="F115" s="1044"/>
      <c r="G115" s="677"/>
      <c r="H115" s="677"/>
      <c r="I115" s="1045"/>
      <c r="J115" s="677"/>
      <c r="K115" s="677"/>
      <c r="L115" s="1045"/>
      <c r="M115" s="677"/>
      <c r="N115" s="677"/>
      <c r="O115" s="1045"/>
      <c r="P115" s="677"/>
      <c r="Q115" s="677"/>
      <c r="R115" s="616" t="s">
        <v>706</v>
      </c>
      <c r="S115" s="1048"/>
      <c r="T115" s="70"/>
      <c r="U115" s="1057"/>
      <c r="V115" s="1075"/>
      <c r="W115" s="1043"/>
      <c r="X115" s="1074"/>
      <c r="Y115" s="1046"/>
      <c r="Z115" s="677"/>
      <c r="AA115" s="677"/>
      <c r="AB115" s="1044"/>
      <c r="AC115" s="677"/>
      <c r="AD115" s="677"/>
      <c r="AE115" s="1045"/>
      <c r="AF115" s="677"/>
      <c r="AG115" s="677"/>
      <c r="AH115" s="1045"/>
      <c r="AI115" s="677"/>
      <c r="AJ115" s="677"/>
      <c r="AK115" s="1045"/>
      <c r="AL115" s="677"/>
      <c r="AM115" s="677"/>
      <c r="AN115" s="616" t="s">
        <v>706</v>
      </c>
      <c r="AO115" s="1048"/>
      <c r="AP115" s="70"/>
      <c r="AQ115" s="1053"/>
      <c r="AR115" s="1073"/>
    </row>
    <row r="116" spans="1:44" ht="14.25" customHeight="1" thickBot="1">
      <c r="A116" s="1036">
        <f ca="1">IF(Score!A118="", "",Score!A118)</f>
        <v>15</v>
      </c>
      <c r="B116" s="1040"/>
      <c r="C116" s="1039" t="str">
        <f ca="1">IF(Score!B118="", "",Score!B118)</f>
        <v>33 1/3</v>
      </c>
      <c r="D116" s="678"/>
      <c r="E116" s="678"/>
      <c r="F116" s="1037" t="s">
        <v>219</v>
      </c>
      <c r="G116" s="678"/>
      <c r="H116" s="678"/>
      <c r="I116" s="1038" t="s">
        <v>43</v>
      </c>
      <c r="J116" s="678" t="s">
        <v>360</v>
      </c>
      <c r="K116" s="678"/>
      <c r="L116" s="1038" t="s">
        <v>223</v>
      </c>
      <c r="M116" s="678"/>
      <c r="N116" s="678"/>
      <c r="O116" s="1038" t="s">
        <v>221</v>
      </c>
      <c r="P116" s="678"/>
      <c r="Q116" s="678"/>
      <c r="R116" s="615" t="s">
        <v>705</v>
      </c>
      <c r="S116" s="1054">
        <f ca="1">IF(A116="", "", SUMIF(SK!B$88:B$162, ROW()+2, SK!D$88:D$162))</f>
        <v>13</v>
      </c>
      <c r="T116" s="70"/>
      <c r="U116" s="1053" t="str">
        <f>IF(U32="","",U32)</f>
        <v>F14</v>
      </c>
      <c r="V116" s="1073" t="str">
        <f>V32</f>
        <v>Apertorture</v>
      </c>
      <c r="W116" s="1036">
        <f ca="1">IF(Score!T118="", "",Score!T118)</f>
        <v>15</v>
      </c>
      <c r="X116" s="1040"/>
      <c r="Y116" s="1039" t="str">
        <f ca="1">IF(Score!U118="", "",Score!U118)</f>
        <v>72</v>
      </c>
      <c r="Z116" s="678"/>
      <c r="AA116" s="678"/>
      <c r="AB116" s="1037" t="s">
        <v>113</v>
      </c>
      <c r="AC116" s="678"/>
      <c r="AD116" s="678"/>
      <c r="AE116" s="1038" t="s">
        <v>362</v>
      </c>
      <c r="AF116" s="678"/>
      <c r="AG116" s="678"/>
      <c r="AH116" s="1038" t="s">
        <v>80</v>
      </c>
      <c r="AI116" s="678" t="s">
        <v>128</v>
      </c>
      <c r="AJ116" s="678" t="s">
        <v>701</v>
      </c>
      <c r="AK116" s="1038" t="s">
        <v>78</v>
      </c>
      <c r="AL116" s="678"/>
      <c r="AM116" s="678"/>
      <c r="AN116" s="615" t="s">
        <v>705</v>
      </c>
      <c r="AO116" s="1054">
        <f ca="1">IF(W116="", "", SUMIF(SK!R$88:R$162, ROW()+2, SK!T$88:T$162))</f>
        <v>0</v>
      </c>
      <c r="AP116" s="70"/>
      <c r="AQ116" s="1053" t="str">
        <f>IF(AQ32="","",AQ32)</f>
        <v>Z28</v>
      </c>
      <c r="AR116" s="1073" t="str">
        <f>AR32</f>
        <v>V8 Nightmare</v>
      </c>
    </row>
    <row r="117" spans="1:44" ht="14.25" customHeight="1" thickBot="1">
      <c r="A117" s="1036"/>
      <c r="B117" s="1041"/>
      <c r="C117" s="1039"/>
      <c r="D117" s="676"/>
      <c r="E117" s="676"/>
      <c r="F117" s="1037"/>
      <c r="G117" s="676"/>
      <c r="H117" s="676"/>
      <c r="I117" s="1038"/>
      <c r="J117" s="676"/>
      <c r="K117" s="676"/>
      <c r="L117" s="1038"/>
      <c r="M117" s="676"/>
      <c r="N117" s="676"/>
      <c r="O117" s="1038"/>
      <c r="P117" s="676"/>
      <c r="Q117" s="676"/>
      <c r="R117" s="616" t="s">
        <v>706</v>
      </c>
      <c r="S117" s="1054"/>
      <c r="T117" s="70"/>
      <c r="U117" s="1053"/>
      <c r="V117" s="1073"/>
      <c r="W117" s="1036"/>
      <c r="X117" s="1041"/>
      <c r="Y117" s="1039"/>
      <c r="Z117" s="676"/>
      <c r="AA117" s="676"/>
      <c r="AB117" s="1037"/>
      <c r="AC117" s="676"/>
      <c r="AD117" s="676"/>
      <c r="AE117" s="1038"/>
      <c r="AF117" s="676"/>
      <c r="AG117" s="676"/>
      <c r="AH117" s="1038"/>
      <c r="AI117" s="676"/>
      <c r="AJ117" s="676"/>
      <c r="AK117" s="1038"/>
      <c r="AL117" s="676"/>
      <c r="AM117" s="676"/>
      <c r="AN117" s="616" t="s">
        <v>706</v>
      </c>
      <c r="AO117" s="1054"/>
      <c r="AP117" s="70"/>
      <c r="AQ117" s="1053"/>
      <c r="AR117" s="1073"/>
    </row>
    <row r="118" spans="1:44" ht="14.25" customHeight="1" thickBot="1">
      <c r="A118" s="1043" t="str">
        <f ca="1">IF(Score!A120="", "",Score!A120)</f>
        <v>SP</v>
      </c>
      <c r="B118" s="1051"/>
      <c r="C118" s="1046" t="str">
        <f ca="1">IF(Score!B120="", "",Score!B120)</f>
        <v/>
      </c>
      <c r="D118" s="675"/>
      <c r="E118" s="675"/>
      <c r="F118" s="1044"/>
      <c r="G118" s="675"/>
      <c r="H118" s="675"/>
      <c r="I118" s="1045"/>
      <c r="J118" s="675"/>
      <c r="K118" s="675"/>
      <c r="L118" s="1045"/>
      <c r="M118" s="675"/>
      <c r="N118" s="675"/>
      <c r="O118" s="1045"/>
      <c r="P118" s="675"/>
      <c r="Q118" s="675"/>
      <c r="R118" s="615" t="s">
        <v>705</v>
      </c>
      <c r="S118" s="1047">
        <f ca="1">IF(A118="", "", SUMIF(SK!B$88:B$162, ROW()+2, SK!D$88:D$162))</f>
        <v>0</v>
      </c>
      <c r="T118" s="70"/>
      <c r="U118" s="1053" t="str">
        <f>IF(U34="","",U34)</f>
        <v/>
      </c>
      <c r="V118" s="1073" t="str">
        <f>V34</f>
        <v/>
      </c>
      <c r="W118" s="1043" t="str">
        <f ca="1">IF(Score!T120="", "",Score!T120)</f>
        <v>SP</v>
      </c>
      <c r="X118" s="1051"/>
      <c r="Y118" s="1046" t="str">
        <f ca="1">IF(Score!U120="", "",Score!U120)</f>
        <v>W00T</v>
      </c>
      <c r="Z118" s="675"/>
      <c r="AA118" s="675"/>
      <c r="AB118" s="1044" t="s">
        <v>74</v>
      </c>
      <c r="AC118" s="675"/>
      <c r="AD118" s="675"/>
      <c r="AE118" s="1045"/>
      <c r="AF118" s="675"/>
      <c r="AG118" s="675"/>
      <c r="AH118" s="1045"/>
      <c r="AI118" s="675"/>
      <c r="AJ118" s="675"/>
      <c r="AK118" s="1045"/>
      <c r="AL118" s="675"/>
      <c r="AM118" s="675"/>
      <c r="AN118" s="615" t="s">
        <v>705</v>
      </c>
      <c r="AO118" s="1047">
        <f ca="1">IF(W118="", "", SUMIF(SK!R$88:R$162, ROW()+2, SK!T$88:T$162))</f>
        <v>1</v>
      </c>
      <c r="AP118" s="70"/>
      <c r="AQ118" s="1053" t="str">
        <f>IF(AQ34="","",AQ34)</f>
        <v/>
      </c>
      <c r="AR118" s="1073" t="str">
        <f>AR34</f>
        <v/>
      </c>
    </row>
    <row r="119" spans="1:44" ht="14.25" customHeight="1" thickBot="1">
      <c r="A119" s="1043"/>
      <c r="B119" s="1074"/>
      <c r="C119" s="1046"/>
      <c r="D119" s="677"/>
      <c r="E119" s="677"/>
      <c r="F119" s="1044"/>
      <c r="G119" s="677"/>
      <c r="H119" s="677"/>
      <c r="I119" s="1045"/>
      <c r="J119" s="677"/>
      <c r="K119" s="677"/>
      <c r="L119" s="1045"/>
      <c r="M119" s="677"/>
      <c r="N119" s="677"/>
      <c r="O119" s="1045"/>
      <c r="P119" s="677"/>
      <c r="Q119" s="677"/>
      <c r="R119" s="616" t="s">
        <v>706</v>
      </c>
      <c r="S119" s="1048"/>
      <c r="T119" s="70"/>
      <c r="U119" s="1053"/>
      <c r="V119" s="1073"/>
      <c r="W119" s="1043"/>
      <c r="X119" s="1074"/>
      <c r="Y119" s="1046"/>
      <c r="Z119" s="677"/>
      <c r="AA119" s="677"/>
      <c r="AB119" s="1044"/>
      <c r="AC119" s="677"/>
      <c r="AD119" s="677"/>
      <c r="AE119" s="1045"/>
      <c r="AF119" s="677"/>
      <c r="AG119" s="677"/>
      <c r="AH119" s="1045"/>
      <c r="AI119" s="677"/>
      <c r="AJ119" s="677"/>
      <c r="AK119" s="1045"/>
      <c r="AL119" s="677"/>
      <c r="AM119" s="677"/>
      <c r="AN119" s="616" t="s">
        <v>706</v>
      </c>
      <c r="AO119" s="1048"/>
      <c r="AP119" s="70"/>
      <c r="AQ119" s="1053"/>
      <c r="AR119" s="1073"/>
    </row>
    <row r="120" spans="1:44" ht="14.25" customHeight="1" thickBot="1">
      <c r="A120" s="1036">
        <f ca="1">IF(Score!A122="", "",Score!A122)</f>
        <v>16</v>
      </c>
      <c r="B120" s="1040"/>
      <c r="C120" s="1039" t="str">
        <f ca="1">IF(Score!B122="", "",Score!B122)</f>
        <v>428</v>
      </c>
      <c r="D120" s="678"/>
      <c r="E120" s="678"/>
      <c r="F120" s="1037" t="s">
        <v>51</v>
      </c>
      <c r="G120" s="678"/>
      <c r="H120" s="678"/>
      <c r="I120" s="1038" t="s">
        <v>43</v>
      </c>
      <c r="J120" s="678" t="s">
        <v>124</v>
      </c>
      <c r="K120" s="678" t="s">
        <v>126</v>
      </c>
      <c r="L120" s="1038" t="s">
        <v>53</v>
      </c>
      <c r="M120" s="678"/>
      <c r="N120" s="678"/>
      <c r="O120" s="1038" t="s">
        <v>47</v>
      </c>
      <c r="P120" s="678"/>
      <c r="Q120" s="678"/>
      <c r="R120" s="615" t="s">
        <v>705</v>
      </c>
      <c r="S120" s="1054">
        <f ca="1">IF(A120="", "", SUMIF(SK!B$88:B$162, ROW()+2, SK!D$88:D$162))</f>
        <v>5</v>
      </c>
      <c r="T120" s="70"/>
      <c r="U120" s="1053" t="str">
        <f>IF(U36="","",U36)</f>
        <v/>
      </c>
      <c r="V120" s="1073" t="str">
        <f>V36</f>
        <v/>
      </c>
      <c r="W120" s="1036">
        <f ca="1">IF(Score!T122="", "",Score!T122)</f>
        <v>16</v>
      </c>
      <c r="X120" s="1040"/>
      <c r="Y120" s="1039" t="str">
        <f ca="1">IF(Score!U122="", "",Score!U122)</f>
        <v>50</v>
      </c>
      <c r="Z120" s="678" t="s">
        <v>126</v>
      </c>
      <c r="AA120" s="678"/>
      <c r="AB120" s="1037" t="s">
        <v>72</v>
      </c>
      <c r="AC120" s="678" t="s">
        <v>128</v>
      </c>
      <c r="AD120" s="678"/>
      <c r="AE120" s="1038" t="s">
        <v>125</v>
      </c>
      <c r="AF120" s="678"/>
      <c r="AG120" s="678"/>
      <c r="AH120" s="1038" t="s">
        <v>364</v>
      </c>
      <c r="AI120" s="678" t="s">
        <v>128</v>
      </c>
      <c r="AJ120" s="678"/>
      <c r="AK120" s="1038" t="s">
        <v>237</v>
      </c>
      <c r="AL120" s="678"/>
      <c r="AM120" s="678"/>
      <c r="AN120" s="615" t="s">
        <v>705</v>
      </c>
      <c r="AO120" s="1054">
        <f ca="1">IF(W120="", "", SUMIF(SK!R$88:R$162, ROW()+2, SK!T$88:T$162))</f>
        <v>0</v>
      </c>
      <c r="AP120" s="70"/>
      <c r="AQ120" s="1053" t="str">
        <f>IF(AQ36="","",AQ36)</f>
        <v/>
      </c>
      <c r="AR120" s="1073" t="str">
        <f>AR36</f>
        <v/>
      </c>
    </row>
    <row r="121" spans="1:44" ht="14.25" customHeight="1" thickBot="1">
      <c r="A121" s="1036"/>
      <c r="B121" s="1041"/>
      <c r="C121" s="1039"/>
      <c r="D121" s="676"/>
      <c r="E121" s="676"/>
      <c r="F121" s="1037"/>
      <c r="G121" s="676"/>
      <c r="H121" s="676"/>
      <c r="I121" s="1038"/>
      <c r="J121" s="676"/>
      <c r="K121" s="676"/>
      <c r="L121" s="1038"/>
      <c r="M121" s="676"/>
      <c r="N121" s="676"/>
      <c r="O121" s="1038"/>
      <c r="P121" s="676"/>
      <c r="Q121" s="676"/>
      <c r="R121" s="616" t="s">
        <v>706</v>
      </c>
      <c r="S121" s="1054"/>
      <c r="T121" s="70"/>
      <c r="U121" s="1053"/>
      <c r="V121" s="1073"/>
      <c r="W121" s="1036"/>
      <c r="X121" s="1041"/>
      <c r="Y121" s="1039"/>
      <c r="Z121" s="676"/>
      <c r="AA121" s="676"/>
      <c r="AB121" s="1037"/>
      <c r="AC121" s="676"/>
      <c r="AD121" s="676"/>
      <c r="AE121" s="1038"/>
      <c r="AF121" s="676"/>
      <c r="AG121" s="676"/>
      <c r="AH121" s="1038"/>
      <c r="AI121" s="676"/>
      <c r="AJ121" s="676"/>
      <c r="AK121" s="1038"/>
      <c r="AL121" s="676"/>
      <c r="AM121" s="676"/>
      <c r="AN121" s="616" t="s">
        <v>706</v>
      </c>
      <c r="AO121" s="1054"/>
      <c r="AP121" s="70"/>
      <c r="AQ121" s="1053"/>
      <c r="AR121" s="1073"/>
    </row>
    <row r="122" spans="1:44" ht="14.25" customHeight="1" thickBot="1">
      <c r="A122" s="1043">
        <f ca="1">IF(Score!A124="", "",Score!A124)</f>
        <v>17</v>
      </c>
      <c r="B122" s="1051"/>
      <c r="C122" s="1046" t="str">
        <f ca="1">IF(Score!B124="", "",Score!B124)</f>
        <v>728</v>
      </c>
      <c r="D122" s="675" t="s">
        <v>126</v>
      </c>
      <c r="E122" s="675" t="s">
        <v>360</v>
      </c>
      <c r="F122" s="1044" t="s">
        <v>219</v>
      </c>
      <c r="G122" s="675"/>
      <c r="H122" s="675"/>
      <c r="I122" s="1045" t="s">
        <v>45</v>
      </c>
      <c r="J122" s="675"/>
      <c r="K122" s="675"/>
      <c r="L122" s="1045" t="s">
        <v>41</v>
      </c>
      <c r="M122" s="675"/>
      <c r="N122" s="675"/>
      <c r="O122" s="1045" t="s">
        <v>57</v>
      </c>
      <c r="P122" s="675"/>
      <c r="Q122" s="675"/>
      <c r="R122" s="615" t="s">
        <v>705</v>
      </c>
      <c r="S122" s="1047">
        <f ca="1">IF(A122="", "", SUMIF(SK!B$88:B$162, ROW()+2, SK!D$88:D$162))</f>
        <v>4</v>
      </c>
      <c r="T122" s="70"/>
      <c r="U122" s="1053" t="str">
        <f>IF(U38="","",U38)</f>
        <v/>
      </c>
      <c r="V122" s="1073" t="str">
        <f>V38</f>
        <v/>
      </c>
      <c r="W122" s="1043">
        <f ca="1">IF(Score!T124="", "",Score!T124)</f>
        <v>17</v>
      </c>
      <c r="X122" s="1051"/>
      <c r="Y122" s="1046" t="str">
        <f ca="1">IF(Score!U124="", "",Score!U124)</f>
        <v>50</v>
      </c>
      <c r="Z122" s="675" t="s">
        <v>124</v>
      </c>
      <c r="AA122" s="675" t="s">
        <v>126</v>
      </c>
      <c r="AB122" s="1044" t="s">
        <v>72</v>
      </c>
      <c r="AC122" s="675" t="s">
        <v>124</v>
      </c>
      <c r="AD122" s="675" t="s">
        <v>126</v>
      </c>
      <c r="AE122" s="1045" t="s">
        <v>80</v>
      </c>
      <c r="AF122" s="675"/>
      <c r="AG122" s="675"/>
      <c r="AH122" s="1045" t="s">
        <v>364</v>
      </c>
      <c r="AI122" s="675" t="s">
        <v>124</v>
      </c>
      <c r="AJ122" s="675" t="s">
        <v>126</v>
      </c>
      <c r="AK122" s="1045" t="s">
        <v>362</v>
      </c>
      <c r="AL122" s="675"/>
      <c r="AM122" s="675"/>
      <c r="AN122" s="615" t="s">
        <v>705</v>
      </c>
      <c r="AO122" s="1047">
        <f ca="1">IF(W122="", "", SUMIF(SK!R$88:R$162, ROW()+2, SK!T$88:T$162))</f>
        <v>5</v>
      </c>
      <c r="AP122" s="70"/>
      <c r="AQ122" s="1053" t="str">
        <f>IF(AQ38="","",AQ38)</f>
        <v/>
      </c>
      <c r="AR122" s="1073" t="str">
        <f>AR38</f>
        <v/>
      </c>
    </row>
    <row r="123" spans="1:44" ht="14.25" customHeight="1" thickBot="1">
      <c r="A123" s="1043"/>
      <c r="B123" s="1074"/>
      <c r="C123" s="1046"/>
      <c r="D123" s="677" t="s">
        <v>360</v>
      </c>
      <c r="E123" s="677"/>
      <c r="F123" s="1044"/>
      <c r="G123" s="677"/>
      <c r="H123" s="677"/>
      <c r="I123" s="1045"/>
      <c r="J123" s="677"/>
      <c r="K123" s="677"/>
      <c r="L123" s="1045"/>
      <c r="M123" s="677"/>
      <c r="N123" s="677"/>
      <c r="O123" s="1045"/>
      <c r="P123" s="677"/>
      <c r="Q123" s="677"/>
      <c r="R123" s="616" t="s">
        <v>706</v>
      </c>
      <c r="S123" s="1048"/>
      <c r="T123" s="70"/>
      <c r="U123" s="1053"/>
      <c r="V123" s="1073"/>
      <c r="W123" s="1043"/>
      <c r="X123" s="1074"/>
      <c r="Y123" s="1046"/>
      <c r="Z123" s="677" t="s">
        <v>126</v>
      </c>
      <c r="AA123" s="677" t="s">
        <v>360</v>
      </c>
      <c r="AB123" s="1044"/>
      <c r="AC123" s="677"/>
      <c r="AD123" s="677"/>
      <c r="AE123" s="1045"/>
      <c r="AF123" s="677"/>
      <c r="AG123" s="677"/>
      <c r="AH123" s="1045"/>
      <c r="AI123" s="677"/>
      <c r="AJ123" s="677"/>
      <c r="AK123" s="1045"/>
      <c r="AL123" s="677"/>
      <c r="AM123" s="677"/>
      <c r="AN123" s="616" t="s">
        <v>706</v>
      </c>
      <c r="AO123" s="1048"/>
      <c r="AP123" s="70"/>
      <c r="AQ123" s="1053"/>
      <c r="AR123" s="1073"/>
    </row>
    <row r="124" spans="1:44" ht="14.25" customHeight="1" thickBot="1">
      <c r="A124" s="1036">
        <f ca="1">IF(Score!A126="", "",Score!A126)</f>
        <v>18</v>
      </c>
      <c r="B124" s="1040"/>
      <c r="C124" s="1039" t="str">
        <f ca="1">IF(Score!B126="", "",Score!B126)</f>
        <v>728</v>
      </c>
      <c r="D124" s="678" t="s">
        <v>124</v>
      </c>
      <c r="E124" s="678" t="s">
        <v>128</v>
      </c>
      <c r="F124" s="1037" t="s">
        <v>59</v>
      </c>
      <c r="G124" s="678"/>
      <c r="H124" s="678"/>
      <c r="I124" s="1038" t="s">
        <v>43</v>
      </c>
      <c r="J124" s="678"/>
      <c r="K124" s="678"/>
      <c r="L124" s="1038" t="s">
        <v>55</v>
      </c>
      <c r="M124" s="678"/>
      <c r="N124" s="678"/>
      <c r="O124" s="1038" t="s">
        <v>47</v>
      </c>
      <c r="P124" s="678"/>
      <c r="Q124" s="678"/>
      <c r="R124" s="615" t="s">
        <v>705</v>
      </c>
      <c r="S124" s="1054">
        <f ca="1">IF(A124="", "", SUMIF(SK!B$88:B$162, ROW()+2, SK!D$88:D$162))</f>
        <v>0</v>
      </c>
      <c r="T124" s="70"/>
      <c r="U124" s="1053" t="str">
        <f>IF(U40="","",U40)</f>
        <v/>
      </c>
      <c r="V124" s="1073" t="str">
        <f>V40</f>
        <v/>
      </c>
      <c r="W124" s="1036">
        <f ca="1">IF(Score!T126="", "",Score!T126)</f>
        <v>18</v>
      </c>
      <c r="X124" s="1040"/>
      <c r="Y124" s="1039" t="str">
        <f ca="1">IF(Score!U126="", "",Score!U126)</f>
        <v>9.81</v>
      </c>
      <c r="Z124" s="678"/>
      <c r="AA124" s="678"/>
      <c r="AB124" s="1037" t="s">
        <v>78</v>
      </c>
      <c r="AC124" s="678"/>
      <c r="AD124" s="678"/>
      <c r="AE124" s="1038" t="s">
        <v>113</v>
      </c>
      <c r="AF124" s="678"/>
      <c r="AG124" s="678"/>
      <c r="AH124" s="1038" t="s">
        <v>358</v>
      </c>
      <c r="AI124" s="678"/>
      <c r="AJ124" s="678"/>
      <c r="AK124" s="1038" t="s">
        <v>366</v>
      </c>
      <c r="AL124" s="678"/>
      <c r="AM124" s="678"/>
      <c r="AN124" s="615" t="s">
        <v>705</v>
      </c>
      <c r="AO124" s="1054">
        <f ca="1">IF(W124="", "", SUMIF(SK!R$88:R$162, ROW()+2, SK!T$88:T$162))</f>
        <v>9</v>
      </c>
      <c r="AP124" s="70"/>
      <c r="AQ124" s="1053" t="str">
        <f>IF(AQ40="","",AQ40)</f>
        <v/>
      </c>
      <c r="AR124" s="1073" t="str">
        <f>AR40</f>
        <v/>
      </c>
    </row>
    <row r="125" spans="1:44" ht="14.25" customHeight="1" thickBot="1">
      <c r="A125" s="1036"/>
      <c r="B125" s="1041"/>
      <c r="C125" s="1039"/>
      <c r="D125" s="676"/>
      <c r="E125" s="676"/>
      <c r="F125" s="1037"/>
      <c r="G125" s="676"/>
      <c r="H125" s="676"/>
      <c r="I125" s="1038"/>
      <c r="J125" s="676"/>
      <c r="K125" s="676"/>
      <c r="L125" s="1038"/>
      <c r="M125" s="676"/>
      <c r="N125" s="676"/>
      <c r="O125" s="1038"/>
      <c r="P125" s="676"/>
      <c r="Q125" s="676"/>
      <c r="R125" s="616" t="s">
        <v>706</v>
      </c>
      <c r="S125" s="1054"/>
      <c r="T125" s="70"/>
      <c r="U125" s="1053"/>
      <c r="V125" s="1073"/>
      <c r="W125" s="1036"/>
      <c r="X125" s="1041"/>
      <c r="Y125" s="1039"/>
      <c r="Z125" s="676"/>
      <c r="AA125" s="676"/>
      <c r="AB125" s="1037"/>
      <c r="AC125" s="676"/>
      <c r="AD125" s="676"/>
      <c r="AE125" s="1038"/>
      <c r="AF125" s="676"/>
      <c r="AG125" s="676"/>
      <c r="AH125" s="1038"/>
      <c r="AI125" s="676"/>
      <c r="AJ125" s="676"/>
      <c r="AK125" s="1038"/>
      <c r="AL125" s="676"/>
      <c r="AM125" s="676"/>
      <c r="AN125" s="616" t="s">
        <v>706</v>
      </c>
      <c r="AO125" s="1054"/>
      <c r="AP125" s="70"/>
      <c r="AQ125" s="1053"/>
      <c r="AR125" s="1073"/>
    </row>
    <row r="126" spans="1:44" ht="14.25" customHeight="1" thickBot="1">
      <c r="A126" s="1043">
        <f ca="1">IF(Score!A128="", "",Score!A128)</f>
        <v>19</v>
      </c>
      <c r="B126" s="1051"/>
      <c r="C126" s="1046" t="str">
        <f ca="1">IF(Score!B128="", "",Score!B128)</f>
        <v>33 1/3</v>
      </c>
      <c r="D126" s="675"/>
      <c r="E126" s="675"/>
      <c r="F126" s="1044" t="s">
        <v>219</v>
      </c>
      <c r="G126" s="675"/>
      <c r="H126" s="675"/>
      <c r="I126" s="1045" t="s">
        <v>223</v>
      </c>
      <c r="J126" s="675"/>
      <c r="K126" s="675"/>
      <c r="L126" s="1045" t="s">
        <v>41</v>
      </c>
      <c r="M126" s="675"/>
      <c r="N126" s="675"/>
      <c r="O126" s="1045" t="s">
        <v>45</v>
      </c>
      <c r="P126" s="675"/>
      <c r="Q126" s="675"/>
      <c r="R126" s="615" t="s">
        <v>705</v>
      </c>
      <c r="S126" s="1047">
        <f ca="1">IF(A126="", "", SUMIF(SK!B$88:B$162, ROW()+2, SK!D$88:D$162))</f>
        <v>0</v>
      </c>
      <c r="T126" s="70"/>
      <c r="U126" s="1053" t="str">
        <f>IF(U42="","",U42)</f>
        <v/>
      </c>
      <c r="V126" s="1073" t="str">
        <f>V42</f>
        <v/>
      </c>
      <c r="W126" s="1043">
        <f ca="1">IF(Score!T128="", "",Score!T128)</f>
        <v>19</v>
      </c>
      <c r="X126" s="1051"/>
      <c r="Y126" s="1046" t="str">
        <f ca="1">IF(Score!U128="", "",Score!U128)</f>
        <v>620</v>
      </c>
      <c r="Z126" s="675"/>
      <c r="AA126" s="675"/>
      <c r="AB126" s="1044" t="s">
        <v>72</v>
      </c>
      <c r="AC126" s="675"/>
      <c r="AD126" s="675"/>
      <c r="AE126" s="1045" t="s">
        <v>362</v>
      </c>
      <c r="AF126" s="675"/>
      <c r="AG126" s="675"/>
      <c r="AH126" s="1045" t="s">
        <v>113</v>
      </c>
      <c r="AI126" s="675"/>
      <c r="AJ126" s="675"/>
      <c r="AK126" s="1045" t="s">
        <v>80</v>
      </c>
      <c r="AL126" s="675"/>
      <c r="AM126" s="675"/>
      <c r="AN126" s="615" t="s">
        <v>705</v>
      </c>
      <c r="AO126" s="1047">
        <f ca="1">IF(W126="", "", SUMIF(SK!R$88:R$162, ROW()+2, SK!T$88:T$162))</f>
        <v>4</v>
      </c>
      <c r="AP126" s="70"/>
      <c r="AQ126" s="1053" t="str">
        <f>IF(AQ42="","",AQ42)</f>
        <v/>
      </c>
      <c r="AR126" s="1073" t="str">
        <f>AR42</f>
        <v/>
      </c>
    </row>
    <row r="127" spans="1:44" ht="14.25" customHeight="1" thickBot="1">
      <c r="A127" s="1043"/>
      <c r="B127" s="1074"/>
      <c r="C127" s="1046"/>
      <c r="D127" s="677"/>
      <c r="E127" s="677"/>
      <c r="F127" s="1044"/>
      <c r="G127" s="677"/>
      <c r="H127" s="677"/>
      <c r="I127" s="1045"/>
      <c r="J127" s="677"/>
      <c r="K127" s="677"/>
      <c r="L127" s="1045"/>
      <c r="M127" s="677"/>
      <c r="N127" s="677"/>
      <c r="O127" s="1045"/>
      <c r="P127" s="677"/>
      <c r="Q127" s="677"/>
      <c r="R127" s="616" t="s">
        <v>706</v>
      </c>
      <c r="S127" s="1048"/>
      <c r="T127" s="70"/>
      <c r="U127" s="1053"/>
      <c r="V127" s="1073"/>
      <c r="W127" s="1043"/>
      <c r="X127" s="1074"/>
      <c r="Y127" s="1046"/>
      <c r="Z127" s="677"/>
      <c r="AA127" s="677"/>
      <c r="AB127" s="1044"/>
      <c r="AC127" s="677"/>
      <c r="AD127" s="677"/>
      <c r="AE127" s="1045"/>
      <c r="AF127" s="677"/>
      <c r="AG127" s="677"/>
      <c r="AH127" s="1045"/>
      <c r="AI127" s="677"/>
      <c r="AJ127" s="677"/>
      <c r="AK127" s="1045"/>
      <c r="AL127" s="677"/>
      <c r="AM127" s="677"/>
      <c r="AN127" s="616" t="s">
        <v>706</v>
      </c>
      <c r="AO127" s="1048"/>
      <c r="AP127" s="70"/>
      <c r="AQ127" s="1053"/>
      <c r="AR127" s="1073"/>
    </row>
    <row r="128" spans="1:44" ht="14.25" customHeight="1" thickBot="1">
      <c r="A128" s="1036">
        <f ca="1">IF(Score!A130="", "",Score!A130)</f>
        <v>20</v>
      </c>
      <c r="B128" s="1040"/>
      <c r="C128" s="1039" t="str">
        <f ca="1">IF(Score!B130="", "",Score!B130)</f>
        <v>428</v>
      </c>
      <c r="D128" s="678"/>
      <c r="E128" s="678"/>
      <c r="F128" s="1037" t="s">
        <v>51</v>
      </c>
      <c r="G128" s="678"/>
      <c r="H128" s="678"/>
      <c r="I128" s="1038" t="s">
        <v>221</v>
      </c>
      <c r="J128" s="678"/>
      <c r="K128" s="678"/>
      <c r="L128" s="1038" t="s">
        <v>57</v>
      </c>
      <c r="M128" s="678"/>
      <c r="N128" s="678"/>
      <c r="O128" s="1038" t="s">
        <v>45</v>
      </c>
      <c r="P128" s="678"/>
      <c r="Q128" s="678"/>
      <c r="R128" s="615" t="s">
        <v>705</v>
      </c>
      <c r="S128" s="1054">
        <f ca="1">IF(A128="", "", SUMIF(SK!B$88:B$162, ROW()+2, SK!D$88:D$162))</f>
        <v>15</v>
      </c>
      <c r="T128" s="70"/>
      <c r="U128" s="6"/>
      <c r="W128" s="1036">
        <f ca="1">IF(Score!T130="", "",Score!T130)</f>
        <v>20</v>
      </c>
      <c r="X128" s="1040"/>
      <c r="Y128" s="1039" t="str">
        <f ca="1">IF(Score!U130="", "",Score!U130)</f>
        <v>620</v>
      </c>
      <c r="Z128" s="678"/>
      <c r="AA128" s="678"/>
      <c r="AB128" s="1037" t="s">
        <v>78</v>
      </c>
      <c r="AC128" s="678"/>
      <c r="AD128" s="678"/>
      <c r="AE128" s="1038" t="s">
        <v>80</v>
      </c>
      <c r="AF128" s="678" t="s">
        <v>128</v>
      </c>
      <c r="AG128" s="678"/>
      <c r="AH128" s="1038" t="s">
        <v>362</v>
      </c>
      <c r="AI128" s="678" t="s">
        <v>360</v>
      </c>
      <c r="AJ128" s="678"/>
      <c r="AK128" s="1038" t="s">
        <v>72</v>
      </c>
      <c r="AL128" s="678" t="s">
        <v>126</v>
      </c>
      <c r="AM128" s="678" t="s">
        <v>128</v>
      </c>
      <c r="AN128" s="615" t="s">
        <v>705</v>
      </c>
      <c r="AO128" s="1054">
        <f ca="1">IF(W128="", "", SUMIF(SK!R$88:R$162, ROW()+2, SK!T$88:T$162))</f>
        <v>4</v>
      </c>
      <c r="AP128" s="70"/>
      <c r="AQ128" s="6"/>
    </row>
    <row r="129" spans="1:43" ht="14.25" customHeight="1" thickBot="1">
      <c r="A129" s="1036"/>
      <c r="B129" s="1041"/>
      <c r="C129" s="1039"/>
      <c r="D129" s="676"/>
      <c r="E129" s="676"/>
      <c r="F129" s="1037"/>
      <c r="G129" s="676"/>
      <c r="H129" s="676"/>
      <c r="I129" s="1038"/>
      <c r="J129" s="676"/>
      <c r="K129" s="676"/>
      <c r="L129" s="1038"/>
      <c r="M129" s="676"/>
      <c r="N129" s="676"/>
      <c r="O129" s="1038"/>
      <c r="P129" s="676"/>
      <c r="Q129" s="676"/>
      <c r="R129" s="616" t="s">
        <v>706</v>
      </c>
      <c r="S129" s="1054"/>
      <c r="T129" s="70"/>
      <c r="U129" s="6"/>
      <c r="W129" s="1036"/>
      <c r="X129" s="1041"/>
      <c r="Y129" s="1039"/>
      <c r="Z129" s="676"/>
      <c r="AA129" s="676"/>
      <c r="AB129" s="1037"/>
      <c r="AC129" s="676"/>
      <c r="AD129" s="676"/>
      <c r="AE129" s="1038"/>
      <c r="AF129" s="676"/>
      <c r="AG129" s="676"/>
      <c r="AH129" s="1038"/>
      <c r="AI129" s="676"/>
      <c r="AJ129" s="676"/>
      <c r="AK129" s="1038"/>
      <c r="AL129" s="676"/>
      <c r="AM129" s="676"/>
      <c r="AN129" s="616" t="s">
        <v>706</v>
      </c>
      <c r="AO129" s="1054"/>
      <c r="AP129" s="70"/>
      <c r="AQ129" s="6"/>
    </row>
    <row r="130" spans="1:43" ht="14.25" customHeight="1" thickBot="1">
      <c r="A130" s="1043" t="str">
        <f ca="1">IF(Score!A132="", "",Score!A132)</f>
        <v/>
      </c>
      <c r="B130" s="1051"/>
      <c r="C130" s="1046" t="str">
        <f ca="1">IF(Score!B132="", "",Score!B132)</f>
        <v/>
      </c>
      <c r="D130" s="675"/>
      <c r="E130" s="675"/>
      <c r="F130" s="1044"/>
      <c r="G130" s="675"/>
      <c r="H130" s="675"/>
      <c r="I130" s="1045"/>
      <c r="J130" s="675"/>
      <c r="K130" s="675"/>
      <c r="L130" s="1045"/>
      <c r="M130" s="675"/>
      <c r="N130" s="675"/>
      <c r="O130" s="1045"/>
      <c r="P130" s="675"/>
      <c r="Q130" s="675"/>
      <c r="R130" s="615" t="s">
        <v>705</v>
      </c>
      <c r="S130" s="1047" t="str">
        <f ca="1">IF(A130="", "", SUMIF(SK!B$88:B$162, ROW()+2, SK!D$88:D$162))</f>
        <v/>
      </c>
      <c r="T130" s="70"/>
      <c r="U130" s="6"/>
      <c r="W130" s="1043" t="str">
        <f ca="1">IF(Score!T132="", "",Score!T132)</f>
        <v/>
      </c>
      <c r="X130" s="1051"/>
      <c r="Y130" s="1046" t="str">
        <f ca="1">IF(Score!U132="", "",Score!U132)</f>
        <v/>
      </c>
      <c r="Z130" s="675"/>
      <c r="AA130" s="675"/>
      <c r="AB130" s="1044"/>
      <c r="AC130" s="675"/>
      <c r="AD130" s="675"/>
      <c r="AE130" s="1045"/>
      <c r="AF130" s="675"/>
      <c r="AG130" s="675"/>
      <c r="AH130" s="1045"/>
      <c r="AI130" s="675"/>
      <c r="AJ130" s="675"/>
      <c r="AK130" s="1045"/>
      <c r="AL130" s="675"/>
      <c r="AM130" s="675"/>
      <c r="AN130" s="615" t="s">
        <v>705</v>
      </c>
      <c r="AO130" s="1047" t="str">
        <f ca="1">IF(W130="", "", SUMIF(SK!R$88:R$162, ROW()+2, SK!T$88:T$162))</f>
        <v/>
      </c>
      <c r="AP130" s="70"/>
      <c r="AQ130" s="6"/>
    </row>
    <row r="131" spans="1:43" ht="14.25" customHeight="1" thickBot="1">
      <c r="A131" s="1043"/>
      <c r="B131" s="1074"/>
      <c r="C131" s="1046"/>
      <c r="D131" s="677"/>
      <c r="E131" s="677"/>
      <c r="F131" s="1044"/>
      <c r="G131" s="677"/>
      <c r="H131" s="677"/>
      <c r="I131" s="1045"/>
      <c r="J131" s="677"/>
      <c r="K131" s="677"/>
      <c r="L131" s="1045"/>
      <c r="M131" s="677"/>
      <c r="N131" s="677"/>
      <c r="O131" s="1045"/>
      <c r="P131" s="677"/>
      <c r="Q131" s="677"/>
      <c r="R131" s="616" t="s">
        <v>706</v>
      </c>
      <c r="S131" s="1048"/>
      <c r="T131" s="70"/>
      <c r="U131" s="6"/>
      <c r="W131" s="1043"/>
      <c r="X131" s="1074"/>
      <c r="Y131" s="1046"/>
      <c r="Z131" s="677"/>
      <c r="AA131" s="677"/>
      <c r="AB131" s="1044"/>
      <c r="AC131" s="677"/>
      <c r="AD131" s="677"/>
      <c r="AE131" s="1045"/>
      <c r="AF131" s="677"/>
      <c r="AG131" s="677"/>
      <c r="AH131" s="1045"/>
      <c r="AI131" s="677"/>
      <c r="AJ131" s="677"/>
      <c r="AK131" s="1045"/>
      <c r="AL131" s="677"/>
      <c r="AM131" s="677"/>
      <c r="AN131" s="616" t="s">
        <v>706</v>
      </c>
      <c r="AO131" s="1048"/>
      <c r="AP131" s="70"/>
      <c r="AQ131" s="6"/>
    </row>
    <row r="132" spans="1:43" ht="14.25" customHeight="1" thickBot="1">
      <c r="A132" s="1036" t="str">
        <f ca="1">IF(Score!A134="", "",Score!A134)</f>
        <v/>
      </c>
      <c r="B132" s="1040"/>
      <c r="C132" s="1039" t="str">
        <f ca="1">IF(Score!B134="", "",Score!B134)</f>
        <v/>
      </c>
      <c r="D132" s="678"/>
      <c r="E132" s="678"/>
      <c r="F132" s="1037"/>
      <c r="G132" s="678"/>
      <c r="H132" s="678"/>
      <c r="I132" s="1038"/>
      <c r="J132" s="678"/>
      <c r="K132" s="678"/>
      <c r="L132" s="1038"/>
      <c r="M132" s="678"/>
      <c r="N132" s="678"/>
      <c r="O132" s="1038"/>
      <c r="P132" s="678"/>
      <c r="Q132" s="678"/>
      <c r="R132" s="615" t="s">
        <v>705</v>
      </c>
      <c r="S132" s="1054" t="str">
        <f ca="1">IF(A132="", "", SUMIF(SK!B$88:B$162, ROW()+2, SK!D$88:D$162))</f>
        <v/>
      </c>
      <c r="T132" s="70"/>
      <c r="U132" s="6"/>
      <c r="W132" s="1036" t="str">
        <f ca="1">IF(Score!T134="", "",Score!T134)</f>
        <v/>
      </c>
      <c r="X132" s="1040"/>
      <c r="Y132" s="1039" t="str">
        <f ca="1">IF(Score!U134="", "",Score!U134)</f>
        <v/>
      </c>
      <c r="Z132" s="678"/>
      <c r="AA132" s="678"/>
      <c r="AB132" s="1037"/>
      <c r="AC132" s="678"/>
      <c r="AD132" s="678"/>
      <c r="AE132" s="1038"/>
      <c r="AF132" s="678"/>
      <c r="AG132" s="678"/>
      <c r="AH132" s="1038"/>
      <c r="AI132" s="678"/>
      <c r="AJ132" s="678"/>
      <c r="AK132" s="1038"/>
      <c r="AL132" s="678"/>
      <c r="AM132" s="678"/>
      <c r="AN132" s="615" t="s">
        <v>705</v>
      </c>
      <c r="AO132" s="1054" t="str">
        <f ca="1">IF(W132="", "", SUMIF(SK!R$88:R$162, ROW()+2, SK!T$88:T$162))</f>
        <v/>
      </c>
      <c r="AP132" s="70"/>
      <c r="AQ132" s="6"/>
    </row>
    <row r="133" spans="1:43" ht="14.25" customHeight="1" thickBot="1">
      <c r="A133" s="1036"/>
      <c r="B133" s="1041"/>
      <c r="C133" s="1039"/>
      <c r="D133" s="676"/>
      <c r="E133" s="676"/>
      <c r="F133" s="1037"/>
      <c r="G133" s="676"/>
      <c r="H133" s="676"/>
      <c r="I133" s="1038"/>
      <c r="J133" s="676"/>
      <c r="K133" s="676"/>
      <c r="L133" s="1038"/>
      <c r="M133" s="676"/>
      <c r="N133" s="676"/>
      <c r="O133" s="1038"/>
      <c r="P133" s="676"/>
      <c r="Q133" s="676"/>
      <c r="R133" s="616" t="s">
        <v>706</v>
      </c>
      <c r="S133" s="1054"/>
      <c r="T133" s="70"/>
      <c r="U133" s="6"/>
      <c r="W133" s="1036"/>
      <c r="X133" s="1041"/>
      <c r="Y133" s="1039"/>
      <c r="Z133" s="676"/>
      <c r="AA133" s="676"/>
      <c r="AB133" s="1037"/>
      <c r="AC133" s="676"/>
      <c r="AD133" s="676"/>
      <c r="AE133" s="1038"/>
      <c r="AF133" s="676"/>
      <c r="AG133" s="676"/>
      <c r="AH133" s="1038"/>
      <c r="AI133" s="676"/>
      <c r="AJ133" s="676"/>
      <c r="AK133" s="1038"/>
      <c r="AL133" s="676"/>
      <c r="AM133" s="676"/>
      <c r="AN133" s="616" t="s">
        <v>706</v>
      </c>
      <c r="AO133" s="1054"/>
      <c r="AP133" s="70"/>
      <c r="AQ133" s="6"/>
    </row>
    <row r="134" spans="1:43" ht="14.25" customHeight="1" thickBot="1">
      <c r="A134" s="1043" t="str">
        <f ca="1">IF(Score!A136="", "",Score!A136)</f>
        <v/>
      </c>
      <c r="B134" s="1051"/>
      <c r="C134" s="1046" t="str">
        <f ca="1">IF(Score!B136="", "",Score!B136)</f>
        <v/>
      </c>
      <c r="D134" s="675"/>
      <c r="E134" s="675"/>
      <c r="F134" s="1044"/>
      <c r="G134" s="675"/>
      <c r="H134" s="675"/>
      <c r="I134" s="1045"/>
      <c r="J134" s="675"/>
      <c r="K134" s="675"/>
      <c r="L134" s="1045"/>
      <c r="M134" s="675"/>
      <c r="N134" s="675"/>
      <c r="O134" s="1045"/>
      <c r="P134" s="675"/>
      <c r="Q134" s="675"/>
      <c r="R134" s="615" t="s">
        <v>705</v>
      </c>
      <c r="S134" s="1047" t="str">
        <f ca="1">IF(A134="", "", SUMIF(SK!B$88:B$162, ROW()+2, SK!D$88:D$162))</f>
        <v/>
      </c>
      <c r="T134" s="70"/>
      <c r="U134" s="6"/>
      <c r="W134" s="1043" t="str">
        <f ca="1">IF(Score!T136="", "",Score!T136)</f>
        <v/>
      </c>
      <c r="X134" s="1051"/>
      <c r="Y134" s="1046" t="str">
        <f ca="1">IF(Score!U136="", "",Score!U136)</f>
        <v/>
      </c>
      <c r="Z134" s="675"/>
      <c r="AA134" s="675"/>
      <c r="AB134" s="1044"/>
      <c r="AC134" s="675"/>
      <c r="AD134" s="675"/>
      <c r="AE134" s="1045"/>
      <c r="AF134" s="675"/>
      <c r="AG134" s="675"/>
      <c r="AH134" s="1045"/>
      <c r="AI134" s="675"/>
      <c r="AJ134" s="675"/>
      <c r="AK134" s="1045"/>
      <c r="AL134" s="675"/>
      <c r="AM134" s="675"/>
      <c r="AN134" s="615" t="s">
        <v>705</v>
      </c>
      <c r="AO134" s="1047" t="str">
        <f ca="1">IF(W134="", "", SUMIF(SK!R$88:R$162, ROW()+2, SK!T$88:T$162))</f>
        <v/>
      </c>
      <c r="AP134" s="70"/>
      <c r="AQ134" s="6"/>
    </row>
    <row r="135" spans="1:43" ht="14.25" customHeight="1" thickBot="1">
      <c r="A135" s="1043"/>
      <c r="B135" s="1074"/>
      <c r="C135" s="1046"/>
      <c r="D135" s="677"/>
      <c r="E135" s="677"/>
      <c r="F135" s="1044"/>
      <c r="G135" s="677"/>
      <c r="H135" s="677"/>
      <c r="I135" s="1045"/>
      <c r="J135" s="677"/>
      <c r="K135" s="677"/>
      <c r="L135" s="1045"/>
      <c r="M135" s="677"/>
      <c r="N135" s="677"/>
      <c r="O135" s="1045"/>
      <c r="P135" s="677"/>
      <c r="Q135" s="677"/>
      <c r="R135" s="616" t="s">
        <v>706</v>
      </c>
      <c r="S135" s="1048"/>
      <c r="T135" s="70"/>
      <c r="U135" s="6"/>
      <c r="W135" s="1043"/>
      <c r="X135" s="1074"/>
      <c r="Y135" s="1046"/>
      <c r="Z135" s="677"/>
      <c r="AA135" s="677"/>
      <c r="AB135" s="1044"/>
      <c r="AC135" s="677"/>
      <c r="AD135" s="677"/>
      <c r="AE135" s="1045"/>
      <c r="AF135" s="677"/>
      <c r="AG135" s="677"/>
      <c r="AH135" s="1045"/>
      <c r="AI135" s="677"/>
      <c r="AJ135" s="677"/>
      <c r="AK135" s="1045"/>
      <c r="AL135" s="677"/>
      <c r="AM135" s="677"/>
      <c r="AN135" s="616" t="s">
        <v>706</v>
      </c>
      <c r="AO135" s="1048"/>
      <c r="AP135" s="70"/>
      <c r="AQ135" s="6"/>
    </row>
    <row r="136" spans="1:43" ht="14.25" customHeight="1" thickBot="1">
      <c r="A136" s="1036" t="str">
        <f ca="1">IF(Score!A138="", "",Score!A138)</f>
        <v/>
      </c>
      <c r="B136" s="1040"/>
      <c r="C136" s="1039" t="str">
        <f ca="1">IF(Score!B138="", "",Score!B138)</f>
        <v/>
      </c>
      <c r="D136" s="678"/>
      <c r="E136" s="678"/>
      <c r="F136" s="1037"/>
      <c r="G136" s="678"/>
      <c r="H136" s="678"/>
      <c r="I136" s="1038"/>
      <c r="J136" s="678"/>
      <c r="K136" s="678"/>
      <c r="L136" s="1038"/>
      <c r="M136" s="678"/>
      <c r="N136" s="678"/>
      <c r="O136" s="1038"/>
      <c r="P136" s="678"/>
      <c r="Q136" s="678"/>
      <c r="R136" s="615" t="s">
        <v>705</v>
      </c>
      <c r="S136" s="1054" t="str">
        <f ca="1">IF(A136="", "", SUMIF(SK!B$88:B$162, ROW()+2, SK!D$88:D$162))</f>
        <v/>
      </c>
      <c r="T136" s="70"/>
      <c r="U136" s="6"/>
      <c r="W136" s="1036" t="str">
        <f ca="1">IF(Score!T138="", "",Score!T138)</f>
        <v/>
      </c>
      <c r="X136" s="1040"/>
      <c r="Y136" s="1039" t="str">
        <f ca="1">IF(Score!U138="", "",Score!U138)</f>
        <v/>
      </c>
      <c r="Z136" s="678"/>
      <c r="AA136" s="678"/>
      <c r="AB136" s="1037"/>
      <c r="AC136" s="678"/>
      <c r="AD136" s="678"/>
      <c r="AE136" s="1038"/>
      <c r="AF136" s="678"/>
      <c r="AG136" s="678"/>
      <c r="AH136" s="1038"/>
      <c r="AI136" s="678"/>
      <c r="AJ136" s="678"/>
      <c r="AK136" s="1038"/>
      <c r="AL136" s="678"/>
      <c r="AM136" s="678"/>
      <c r="AN136" s="615" t="s">
        <v>705</v>
      </c>
      <c r="AO136" s="1054" t="str">
        <f ca="1">IF(W136="", "", SUMIF(SK!R$88:R$162, ROW()+2, SK!T$88:T$162))</f>
        <v/>
      </c>
      <c r="AP136" s="70"/>
      <c r="AQ136" s="6"/>
    </row>
    <row r="137" spans="1:43" ht="14.25" customHeight="1" thickBot="1">
      <c r="A137" s="1036"/>
      <c r="B137" s="1041"/>
      <c r="C137" s="1039"/>
      <c r="D137" s="676"/>
      <c r="E137" s="676"/>
      <c r="F137" s="1037"/>
      <c r="G137" s="676"/>
      <c r="H137" s="676"/>
      <c r="I137" s="1038"/>
      <c r="J137" s="676"/>
      <c r="K137" s="676"/>
      <c r="L137" s="1038"/>
      <c r="M137" s="676"/>
      <c r="N137" s="676"/>
      <c r="O137" s="1038"/>
      <c r="P137" s="676"/>
      <c r="Q137" s="676"/>
      <c r="R137" s="616" t="s">
        <v>706</v>
      </c>
      <c r="S137" s="1054"/>
      <c r="T137" s="70"/>
      <c r="U137" s="6"/>
      <c r="W137" s="1036"/>
      <c r="X137" s="1041"/>
      <c r="Y137" s="1039"/>
      <c r="Z137" s="676"/>
      <c r="AA137" s="676"/>
      <c r="AB137" s="1037"/>
      <c r="AC137" s="676"/>
      <c r="AD137" s="676"/>
      <c r="AE137" s="1038"/>
      <c r="AF137" s="676"/>
      <c r="AG137" s="676"/>
      <c r="AH137" s="1038"/>
      <c r="AI137" s="676"/>
      <c r="AJ137" s="676"/>
      <c r="AK137" s="1038"/>
      <c r="AL137" s="676"/>
      <c r="AM137" s="676"/>
      <c r="AN137" s="616" t="s">
        <v>706</v>
      </c>
      <c r="AO137" s="1054"/>
      <c r="AP137" s="70"/>
      <c r="AQ137" s="6"/>
    </row>
    <row r="138" spans="1:43" ht="14.25" customHeight="1" thickBot="1">
      <c r="A138" s="1043" t="str">
        <f ca="1">IF(Score!A140="", "",Score!A140)</f>
        <v/>
      </c>
      <c r="B138" s="1051"/>
      <c r="C138" s="1046" t="str">
        <f ca="1">IF(Score!B140="", "",Score!B140)</f>
        <v/>
      </c>
      <c r="D138" s="675"/>
      <c r="E138" s="675"/>
      <c r="F138" s="1044"/>
      <c r="G138" s="675"/>
      <c r="H138" s="675"/>
      <c r="I138" s="1045"/>
      <c r="J138" s="675"/>
      <c r="K138" s="675"/>
      <c r="L138" s="1045"/>
      <c r="M138" s="675"/>
      <c r="N138" s="675"/>
      <c r="O138" s="1045"/>
      <c r="P138" s="675"/>
      <c r="Q138" s="675"/>
      <c r="R138" s="615" t="s">
        <v>705</v>
      </c>
      <c r="S138" s="1047" t="str">
        <f ca="1">IF(A138="", "", SUMIF(SK!B$88:B$162, ROW()+2, SK!D$88:D$162))</f>
        <v/>
      </c>
      <c r="T138" s="70"/>
      <c r="U138" s="6"/>
      <c r="W138" s="1043" t="str">
        <f ca="1">IF(Score!T140="", "",Score!T140)</f>
        <v/>
      </c>
      <c r="X138" s="1051"/>
      <c r="Y138" s="1046" t="str">
        <f ca="1">IF(Score!U140="", "",Score!U140)</f>
        <v/>
      </c>
      <c r="Z138" s="675"/>
      <c r="AA138" s="675"/>
      <c r="AB138" s="1044"/>
      <c r="AC138" s="675"/>
      <c r="AD138" s="675"/>
      <c r="AE138" s="1045"/>
      <c r="AF138" s="675"/>
      <c r="AG138" s="675"/>
      <c r="AH138" s="1045"/>
      <c r="AI138" s="675"/>
      <c r="AJ138" s="675"/>
      <c r="AK138" s="1045"/>
      <c r="AL138" s="675"/>
      <c r="AM138" s="675"/>
      <c r="AN138" s="615" t="s">
        <v>705</v>
      </c>
      <c r="AO138" s="1047" t="str">
        <f ca="1">IF(W138="", "", SUMIF(SK!R$88:R$162, ROW()+2, SK!T$88:T$162))</f>
        <v/>
      </c>
      <c r="AP138" s="70"/>
      <c r="AQ138" s="6"/>
    </row>
    <row r="139" spans="1:43" ht="14.25" customHeight="1" thickBot="1">
      <c r="A139" s="1043"/>
      <c r="B139" s="1074"/>
      <c r="C139" s="1046"/>
      <c r="D139" s="677"/>
      <c r="E139" s="677"/>
      <c r="F139" s="1044"/>
      <c r="G139" s="677"/>
      <c r="H139" s="677"/>
      <c r="I139" s="1045"/>
      <c r="J139" s="677"/>
      <c r="K139" s="677"/>
      <c r="L139" s="1045"/>
      <c r="M139" s="677"/>
      <c r="N139" s="677"/>
      <c r="O139" s="1045"/>
      <c r="P139" s="677"/>
      <c r="Q139" s="677"/>
      <c r="R139" s="616" t="s">
        <v>706</v>
      </c>
      <c r="S139" s="1048"/>
      <c r="T139" s="70"/>
      <c r="U139" s="6"/>
      <c r="W139" s="1043"/>
      <c r="X139" s="1074"/>
      <c r="Y139" s="1046"/>
      <c r="Z139" s="677"/>
      <c r="AA139" s="677"/>
      <c r="AB139" s="1044"/>
      <c r="AC139" s="677"/>
      <c r="AD139" s="677"/>
      <c r="AE139" s="1045"/>
      <c r="AF139" s="677"/>
      <c r="AG139" s="677"/>
      <c r="AH139" s="1045"/>
      <c r="AI139" s="677"/>
      <c r="AJ139" s="677"/>
      <c r="AK139" s="1045"/>
      <c r="AL139" s="677"/>
      <c r="AM139" s="677"/>
      <c r="AN139" s="616" t="s">
        <v>706</v>
      </c>
      <c r="AO139" s="1048"/>
      <c r="AP139" s="70"/>
      <c r="AQ139" s="6"/>
    </row>
    <row r="140" spans="1:43" ht="14.25" customHeight="1" thickBot="1">
      <c r="A140" s="1036" t="str">
        <f ca="1">IF(Score!A142="", "",Score!A142)</f>
        <v/>
      </c>
      <c r="B140" s="1040"/>
      <c r="C140" s="1039" t="str">
        <f ca="1">IF(Score!B142="", "",Score!B142)</f>
        <v/>
      </c>
      <c r="D140" s="678"/>
      <c r="E140" s="678"/>
      <c r="F140" s="1037"/>
      <c r="G140" s="678"/>
      <c r="H140" s="678"/>
      <c r="I140" s="1038"/>
      <c r="J140" s="678"/>
      <c r="K140" s="678"/>
      <c r="L140" s="1038"/>
      <c r="M140" s="678"/>
      <c r="N140" s="678"/>
      <c r="O140" s="1038"/>
      <c r="P140" s="678"/>
      <c r="Q140" s="678"/>
      <c r="R140" s="615" t="s">
        <v>705</v>
      </c>
      <c r="S140" s="1054" t="str">
        <f ca="1">IF(A140="", "", SUMIF(SK!B$88:B$162, ROW()+2, SK!D$88:D$162))</f>
        <v/>
      </c>
      <c r="T140" s="70"/>
      <c r="U140" s="6"/>
      <c r="W140" s="1036" t="str">
        <f ca="1">IF(Score!T142="", "",Score!T142)</f>
        <v/>
      </c>
      <c r="X140" s="1040"/>
      <c r="Y140" s="1039" t="str">
        <f ca="1">IF(Score!U142="", "",Score!U142)</f>
        <v/>
      </c>
      <c r="Z140" s="678"/>
      <c r="AA140" s="678"/>
      <c r="AB140" s="1037"/>
      <c r="AC140" s="678"/>
      <c r="AD140" s="678"/>
      <c r="AE140" s="1038"/>
      <c r="AF140" s="678"/>
      <c r="AG140" s="678"/>
      <c r="AH140" s="1038"/>
      <c r="AI140" s="678"/>
      <c r="AJ140" s="678"/>
      <c r="AK140" s="1038"/>
      <c r="AL140" s="678"/>
      <c r="AM140" s="678"/>
      <c r="AN140" s="615" t="s">
        <v>705</v>
      </c>
      <c r="AO140" s="1054" t="str">
        <f ca="1">IF(W140="", "", SUMIF(SK!R$88:R$162, ROW()+2, SK!T$88:T$162))</f>
        <v/>
      </c>
      <c r="AP140" s="70"/>
      <c r="AQ140" s="6"/>
    </row>
    <row r="141" spans="1:43" ht="14.25" customHeight="1" thickBot="1">
      <c r="A141" s="1036"/>
      <c r="B141" s="1041"/>
      <c r="C141" s="1039"/>
      <c r="D141" s="676"/>
      <c r="E141" s="676"/>
      <c r="F141" s="1037"/>
      <c r="G141" s="676"/>
      <c r="H141" s="676"/>
      <c r="I141" s="1038"/>
      <c r="J141" s="676"/>
      <c r="K141" s="676"/>
      <c r="L141" s="1038"/>
      <c r="M141" s="676"/>
      <c r="N141" s="676"/>
      <c r="O141" s="1038"/>
      <c r="P141" s="676"/>
      <c r="Q141" s="676"/>
      <c r="R141" s="616" t="s">
        <v>706</v>
      </c>
      <c r="S141" s="1054"/>
      <c r="T141" s="70"/>
      <c r="U141" s="6"/>
      <c r="W141" s="1036"/>
      <c r="X141" s="1041"/>
      <c r="Y141" s="1039"/>
      <c r="Z141" s="676"/>
      <c r="AA141" s="676"/>
      <c r="AB141" s="1037"/>
      <c r="AC141" s="676"/>
      <c r="AD141" s="676"/>
      <c r="AE141" s="1038"/>
      <c r="AF141" s="676"/>
      <c r="AG141" s="676"/>
      <c r="AH141" s="1038"/>
      <c r="AI141" s="676"/>
      <c r="AJ141" s="676"/>
      <c r="AK141" s="1038"/>
      <c r="AL141" s="676"/>
      <c r="AM141" s="676"/>
      <c r="AN141" s="616" t="s">
        <v>706</v>
      </c>
      <c r="AO141" s="1054"/>
      <c r="AP141" s="70"/>
      <c r="AQ141" s="6"/>
    </row>
    <row r="142" spans="1:43" ht="14.25" customHeight="1" thickBot="1">
      <c r="A142" s="1043" t="str">
        <f ca="1">IF(Score!A144="", "",Score!A144)</f>
        <v/>
      </c>
      <c r="B142" s="1051"/>
      <c r="C142" s="1046" t="str">
        <f ca="1">IF(Score!B144="", "",Score!B144)</f>
        <v/>
      </c>
      <c r="D142" s="675"/>
      <c r="E142" s="675"/>
      <c r="F142" s="1044"/>
      <c r="G142" s="675"/>
      <c r="H142" s="675"/>
      <c r="I142" s="1045"/>
      <c r="J142" s="675"/>
      <c r="K142" s="675"/>
      <c r="L142" s="1045"/>
      <c r="M142" s="675"/>
      <c r="N142" s="675"/>
      <c r="O142" s="1045"/>
      <c r="P142" s="675"/>
      <c r="Q142" s="675"/>
      <c r="R142" s="615" t="s">
        <v>705</v>
      </c>
      <c r="S142" s="1047" t="str">
        <f ca="1">IF(A142="", "", SUMIF(SK!B$88:B$162, ROW()+2, SK!D$88:D$162))</f>
        <v/>
      </c>
      <c r="T142" s="70"/>
      <c r="U142" s="6"/>
      <c r="W142" s="1043" t="str">
        <f ca="1">IF(Score!T144="", "",Score!T144)</f>
        <v/>
      </c>
      <c r="X142" s="1051"/>
      <c r="Y142" s="1046" t="str">
        <f ca="1">IF(Score!U144="", "",Score!U144)</f>
        <v/>
      </c>
      <c r="Z142" s="675"/>
      <c r="AA142" s="675"/>
      <c r="AB142" s="1044"/>
      <c r="AC142" s="675"/>
      <c r="AD142" s="675"/>
      <c r="AE142" s="1045"/>
      <c r="AF142" s="675"/>
      <c r="AG142" s="675"/>
      <c r="AH142" s="1045"/>
      <c r="AI142" s="675"/>
      <c r="AJ142" s="675"/>
      <c r="AK142" s="1045"/>
      <c r="AL142" s="675"/>
      <c r="AM142" s="675"/>
      <c r="AN142" s="615" t="s">
        <v>705</v>
      </c>
      <c r="AO142" s="1047" t="str">
        <f ca="1">IF(W142="", "", SUMIF(SK!R$88:R$162, ROW()+2, SK!T$88:T$162))</f>
        <v/>
      </c>
      <c r="AP142" s="70"/>
      <c r="AQ142" s="6"/>
    </row>
    <row r="143" spans="1:43" ht="14.25" customHeight="1" thickBot="1">
      <c r="A143" s="1043"/>
      <c r="B143" s="1074"/>
      <c r="C143" s="1046"/>
      <c r="D143" s="677"/>
      <c r="E143" s="677"/>
      <c r="F143" s="1044"/>
      <c r="G143" s="677"/>
      <c r="H143" s="677"/>
      <c r="I143" s="1045"/>
      <c r="J143" s="677"/>
      <c r="K143" s="677"/>
      <c r="L143" s="1045"/>
      <c r="M143" s="677"/>
      <c r="N143" s="677"/>
      <c r="O143" s="1045"/>
      <c r="P143" s="677"/>
      <c r="Q143" s="677"/>
      <c r="R143" s="616" t="s">
        <v>706</v>
      </c>
      <c r="S143" s="1048"/>
      <c r="T143" s="70"/>
      <c r="U143" s="6"/>
      <c r="W143" s="1043"/>
      <c r="X143" s="1074"/>
      <c r="Y143" s="1046"/>
      <c r="Z143" s="677"/>
      <c r="AA143" s="677"/>
      <c r="AB143" s="1044"/>
      <c r="AC143" s="677"/>
      <c r="AD143" s="677"/>
      <c r="AE143" s="1045"/>
      <c r="AF143" s="677"/>
      <c r="AG143" s="677"/>
      <c r="AH143" s="1045"/>
      <c r="AI143" s="677"/>
      <c r="AJ143" s="677"/>
      <c r="AK143" s="1045"/>
      <c r="AL143" s="677"/>
      <c r="AM143" s="677"/>
      <c r="AN143" s="616" t="s">
        <v>706</v>
      </c>
      <c r="AO143" s="1048"/>
      <c r="AP143" s="70"/>
      <c r="AQ143" s="6"/>
    </row>
    <row r="144" spans="1:43" ht="14.25" customHeight="1" thickBot="1">
      <c r="A144" s="1036" t="str">
        <f ca="1">IF(Score!A146="", "",Score!A146)</f>
        <v/>
      </c>
      <c r="B144" s="1040"/>
      <c r="C144" s="1039" t="str">
        <f ca="1">IF(Score!B146="", "",Score!B146)</f>
        <v/>
      </c>
      <c r="D144" s="678"/>
      <c r="E144" s="678"/>
      <c r="F144" s="1037"/>
      <c r="G144" s="678"/>
      <c r="H144" s="678"/>
      <c r="I144" s="1038"/>
      <c r="J144" s="678"/>
      <c r="K144" s="678"/>
      <c r="L144" s="1038"/>
      <c r="M144" s="678"/>
      <c r="N144" s="678"/>
      <c r="O144" s="1038"/>
      <c r="P144" s="678"/>
      <c r="Q144" s="678"/>
      <c r="R144" s="615" t="s">
        <v>705</v>
      </c>
      <c r="S144" s="1054" t="str">
        <f ca="1">IF(A144="", "", SUMIF(SK!B$88:B$162, ROW()+2, SK!D$88:D$162))</f>
        <v/>
      </c>
      <c r="T144" s="70"/>
      <c r="U144" s="6"/>
      <c r="W144" s="1036" t="str">
        <f ca="1">IF(Score!T146="", "",Score!T146)</f>
        <v/>
      </c>
      <c r="X144" s="1040"/>
      <c r="Y144" s="1039" t="str">
        <f ca="1">IF(Score!U146="", "",Score!U146)</f>
        <v/>
      </c>
      <c r="Z144" s="678"/>
      <c r="AA144" s="678"/>
      <c r="AB144" s="1037"/>
      <c r="AC144" s="678"/>
      <c r="AD144" s="678"/>
      <c r="AE144" s="1038"/>
      <c r="AF144" s="678"/>
      <c r="AG144" s="678"/>
      <c r="AH144" s="1038"/>
      <c r="AI144" s="678"/>
      <c r="AJ144" s="678"/>
      <c r="AK144" s="1038"/>
      <c r="AL144" s="678"/>
      <c r="AM144" s="678"/>
      <c r="AN144" s="615" t="s">
        <v>705</v>
      </c>
      <c r="AO144" s="1054" t="str">
        <f ca="1">IF(W144="", "", SUMIF(SK!R$88:R$162, ROW()+2, SK!T$88:T$162))</f>
        <v/>
      </c>
      <c r="AP144" s="70"/>
      <c r="AQ144" s="6"/>
    </row>
    <row r="145" spans="1:43" ht="14.25" customHeight="1" thickBot="1">
      <c r="A145" s="1036"/>
      <c r="B145" s="1041"/>
      <c r="C145" s="1039"/>
      <c r="D145" s="676"/>
      <c r="E145" s="676"/>
      <c r="F145" s="1037"/>
      <c r="G145" s="676"/>
      <c r="H145" s="676"/>
      <c r="I145" s="1038"/>
      <c r="J145" s="676"/>
      <c r="K145" s="676"/>
      <c r="L145" s="1038"/>
      <c r="M145" s="676"/>
      <c r="N145" s="676"/>
      <c r="O145" s="1038"/>
      <c r="P145" s="676"/>
      <c r="Q145" s="676"/>
      <c r="R145" s="616" t="s">
        <v>706</v>
      </c>
      <c r="S145" s="1054"/>
      <c r="T145" s="70"/>
      <c r="U145" s="6"/>
      <c r="W145" s="1036"/>
      <c r="X145" s="1041"/>
      <c r="Y145" s="1039"/>
      <c r="Z145" s="676"/>
      <c r="AA145" s="676"/>
      <c r="AB145" s="1037"/>
      <c r="AC145" s="676"/>
      <c r="AD145" s="676"/>
      <c r="AE145" s="1038"/>
      <c r="AF145" s="676"/>
      <c r="AG145" s="676"/>
      <c r="AH145" s="1038"/>
      <c r="AI145" s="676"/>
      <c r="AJ145" s="676"/>
      <c r="AK145" s="1038"/>
      <c r="AL145" s="676"/>
      <c r="AM145" s="676"/>
      <c r="AN145" s="616" t="s">
        <v>706</v>
      </c>
      <c r="AO145" s="1054"/>
      <c r="AP145" s="70"/>
      <c r="AQ145" s="6"/>
    </row>
    <row r="146" spans="1:43" ht="14.25" customHeight="1" thickBot="1">
      <c r="A146" s="1043" t="str">
        <f ca="1">IF(Score!A148="", "",Score!A148)</f>
        <v/>
      </c>
      <c r="B146" s="1051"/>
      <c r="C146" s="1046" t="str">
        <f ca="1">IF(Score!B148="", "",Score!B148)</f>
        <v/>
      </c>
      <c r="D146" s="675"/>
      <c r="E146" s="675"/>
      <c r="F146" s="1044"/>
      <c r="G146" s="675"/>
      <c r="H146" s="675"/>
      <c r="I146" s="1045"/>
      <c r="J146" s="675"/>
      <c r="K146" s="675"/>
      <c r="L146" s="1045"/>
      <c r="M146" s="675"/>
      <c r="N146" s="675"/>
      <c r="O146" s="1045"/>
      <c r="P146" s="675"/>
      <c r="Q146" s="675"/>
      <c r="R146" s="615" t="s">
        <v>705</v>
      </c>
      <c r="S146" s="1047" t="str">
        <f ca="1">IF(A146="", "", SUMIF(SK!B$88:B$162, ROW()+2, SK!D$88:D$162))</f>
        <v/>
      </c>
      <c r="T146" s="70"/>
      <c r="U146" s="6"/>
      <c r="W146" s="1043" t="str">
        <f ca="1">IF(Score!T148="", "",Score!T148)</f>
        <v/>
      </c>
      <c r="X146" s="1051"/>
      <c r="Y146" s="1046" t="str">
        <f ca="1">IF(Score!U148="", "",Score!U148)</f>
        <v/>
      </c>
      <c r="Z146" s="675"/>
      <c r="AA146" s="675"/>
      <c r="AB146" s="1044"/>
      <c r="AC146" s="675"/>
      <c r="AD146" s="675"/>
      <c r="AE146" s="1045"/>
      <c r="AF146" s="675"/>
      <c r="AG146" s="675"/>
      <c r="AH146" s="1045"/>
      <c r="AI146" s="675"/>
      <c r="AJ146" s="675"/>
      <c r="AK146" s="1045"/>
      <c r="AL146" s="675"/>
      <c r="AM146" s="675"/>
      <c r="AN146" s="615" t="s">
        <v>705</v>
      </c>
      <c r="AO146" s="1047" t="str">
        <f ca="1">IF(W146="", "", SUMIF(SK!R$88:R$162, ROW()+2, SK!T$88:T$162))</f>
        <v/>
      </c>
      <c r="AP146" s="70"/>
      <c r="AQ146" s="6"/>
    </row>
    <row r="147" spans="1:43" ht="14.25" customHeight="1" thickBot="1">
      <c r="A147" s="1043"/>
      <c r="B147" s="1074"/>
      <c r="C147" s="1046"/>
      <c r="D147" s="677"/>
      <c r="E147" s="677"/>
      <c r="F147" s="1044"/>
      <c r="G147" s="677"/>
      <c r="H147" s="677"/>
      <c r="I147" s="1045"/>
      <c r="J147" s="677"/>
      <c r="K147" s="677"/>
      <c r="L147" s="1045"/>
      <c r="M147" s="677"/>
      <c r="N147" s="677"/>
      <c r="O147" s="1045"/>
      <c r="P147" s="677"/>
      <c r="Q147" s="677"/>
      <c r="R147" s="616" t="s">
        <v>706</v>
      </c>
      <c r="S147" s="1048"/>
      <c r="T147" s="70"/>
      <c r="U147" s="6"/>
      <c r="W147" s="1043"/>
      <c r="X147" s="1074"/>
      <c r="Y147" s="1046"/>
      <c r="Z147" s="677"/>
      <c r="AA147" s="677"/>
      <c r="AB147" s="1044"/>
      <c r="AC147" s="677"/>
      <c r="AD147" s="677"/>
      <c r="AE147" s="1045"/>
      <c r="AF147" s="677"/>
      <c r="AG147" s="677"/>
      <c r="AH147" s="1045"/>
      <c r="AI147" s="677"/>
      <c r="AJ147" s="677"/>
      <c r="AK147" s="1045"/>
      <c r="AL147" s="677"/>
      <c r="AM147" s="677"/>
      <c r="AN147" s="616" t="s">
        <v>706</v>
      </c>
      <c r="AO147" s="1048"/>
      <c r="AP147" s="70"/>
      <c r="AQ147" s="6"/>
    </row>
    <row r="148" spans="1:43" ht="14.25" customHeight="1" thickBot="1">
      <c r="A148" s="1036" t="str">
        <f ca="1">IF(Score!A150="", "",Score!A150)</f>
        <v/>
      </c>
      <c r="B148" s="1040"/>
      <c r="C148" s="1039" t="str">
        <f ca="1">IF(Score!B150="", "",Score!B150)</f>
        <v/>
      </c>
      <c r="D148" s="678"/>
      <c r="E148" s="678"/>
      <c r="F148" s="1037"/>
      <c r="G148" s="678"/>
      <c r="H148" s="678"/>
      <c r="I148" s="1038"/>
      <c r="J148" s="678"/>
      <c r="K148" s="678"/>
      <c r="L148" s="1038"/>
      <c r="M148" s="678"/>
      <c r="N148" s="678"/>
      <c r="O148" s="1038"/>
      <c r="P148" s="678"/>
      <c r="Q148" s="678"/>
      <c r="R148" s="615" t="s">
        <v>705</v>
      </c>
      <c r="S148" s="1054" t="str">
        <f ca="1">IF(A148="", "", SUMIF(SK!B$88:B$162, ROW()+2, SK!D$88:D$162))</f>
        <v/>
      </c>
      <c r="T148" s="70"/>
      <c r="U148" s="6"/>
      <c r="W148" s="1036" t="str">
        <f ca="1">IF(Score!T150="", "",Score!T150)</f>
        <v/>
      </c>
      <c r="X148" s="1040"/>
      <c r="Y148" s="1039" t="str">
        <f ca="1">IF(Score!U150="", "",Score!U150)</f>
        <v/>
      </c>
      <c r="Z148" s="678"/>
      <c r="AA148" s="678"/>
      <c r="AB148" s="1037"/>
      <c r="AC148" s="678"/>
      <c r="AD148" s="678"/>
      <c r="AE148" s="1038"/>
      <c r="AF148" s="678"/>
      <c r="AG148" s="678"/>
      <c r="AH148" s="1038"/>
      <c r="AI148" s="678"/>
      <c r="AJ148" s="678"/>
      <c r="AK148" s="1038"/>
      <c r="AL148" s="678"/>
      <c r="AM148" s="678"/>
      <c r="AN148" s="615" t="s">
        <v>705</v>
      </c>
      <c r="AO148" s="1054" t="str">
        <f ca="1">IF(W148="", "", SUMIF(SK!R$88:R$162, ROW()+2, SK!T$88:T$162))</f>
        <v/>
      </c>
      <c r="AP148" s="70"/>
      <c r="AQ148" s="6"/>
    </row>
    <row r="149" spans="1:43" ht="14.25" customHeight="1" thickBot="1">
      <c r="A149" s="1036"/>
      <c r="B149" s="1041"/>
      <c r="C149" s="1039"/>
      <c r="D149" s="676"/>
      <c r="E149" s="676"/>
      <c r="F149" s="1037"/>
      <c r="G149" s="676"/>
      <c r="H149" s="676"/>
      <c r="I149" s="1038"/>
      <c r="J149" s="676"/>
      <c r="K149" s="676"/>
      <c r="L149" s="1038"/>
      <c r="M149" s="676"/>
      <c r="N149" s="676"/>
      <c r="O149" s="1038"/>
      <c r="P149" s="676"/>
      <c r="Q149" s="676"/>
      <c r="R149" s="616" t="s">
        <v>706</v>
      </c>
      <c r="S149" s="1054"/>
      <c r="T149" s="70"/>
      <c r="U149" s="6"/>
      <c r="W149" s="1036"/>
      <c r="X149" s="1041"/>
      <c r="Y149" s="1039"/>
      <c r="Z149" s="676"/>
      <c r="AA149" s="676"/>
      <c r="AB149" s="1037"/>
      <c r="AC149" s="676"/>
      <c r="AD149" s="676"/>
      <c r="AE149" s="1038"/>
      <c r="AF149" s="676"/>
      <c r="AG149" s="676"/>
      <c r="AH149" s="1038"/>
      <c r="AI149" s="676"/>
      <c r="AJ149" s="676"/>
      <c r="AK149" s="1038"/>
      <c r="AL149" s="676"/>
      <c r="AM149" s="676"/>
      <c r="AN149" s="616" t="s">
        <v>706</v>
      </c>
      <c r="AO149" s="1054"/>
      <c r="AP149" s="70"/>
      <c r="AQ149" s="6"/>
    </row>
    <row r="150" spans="1:43" ht="14.25" customHeight="1" thickBot="1">
      <c r="A150" s="1043" t="str">
        <f ca="1">IF(Score!A152="", "",Score!A152)</f>
        <v/>
      </c>
      <c r="B150" s="1051"/>
      <c r="C150" s="1046" t="str">
        <f ca="1">IF(Score!B152="", "",Score!B152)</f>
        <v/>
      </c>
      <c r="D150" s="675"/>
      <c r="E150" s="675"/>
      <c r="F150" s="1044"/>
      <c r="G150" s="675"/>
      <c r="H150" s="675"/>
      <c r="I150" s="1045"/>
      <c r="J150" s="675"/>
      <c r="K150" s="675"/>
      <c r="L150" s="1045"/>
      <c r="M150" s="675"/>
      <c r="N150" s="675"/>
      <c r="O150" s="1045"/>
      <c r="P150" s="675"/>
      <c r="Q150" s="675"/>
      <c r="R150" s="615" t="s">
        <v>705</v>
      </c>
      <c r="S150" s="1047" t="str">
        <f ca="1">IF(A150="", "", SUMIF(SK!B$88:B$162, ROW()+2, SK!D$88:D$162))</f>
        <v/>
      </c>
      <c r="T150" s="70"/>
      <c r="U150" s="6"/>
      <c r="W150" s="1043" t="str">
        <f ca="1">IF(Score!T152="", "",Score!T152)</f>
        <v/>
      </c>
      <c r="X150" s="1051"/>
      <c r="Y150" s="1046" t="str">
        <f ca="1">IF(Score!U152="", "",Score!U152)</f>
        <v/>
      </c>
      <c r="Z150" s="675"/>
      <c r="AA150" s="675"/>
      <c r="AB150" s="1044"/>
      <c r="AC150" s="675"/>
      <c r="AD150" s="675"/>
      <c r="AE150" s="1045"/>
      <c r="AF150" s="675"/>
      <c r="AG150" s="675"/>
      <c r="AH150" s="1045"/>
      <c r="AI150" s="675"/>
      <c r="AJ150" s="675"/>
      <c r="AK150" s="1045"/>
      <c r="AL150" s="675"/>
      <c r="AM150" s="675"/>
      <c r="AN150" s="615" t="s">
        <v>705</v>
      </c>
      <c r="AO150" s="1047" t="str">
        <f ca="1">IF(W150="", "", SUMIF(SK!R$88:R$162, ROW()+2, SK!T$88:T$162))</f>
        <v/>
      </c>
      <c r="AP150" s="70"/>
      <c r="AQ150" s="6"/>
    </row>
    <row r="151" spans="1:43" ht="14.25" customHeight="1" thickBot="1">
      <c r="A151" s="1043"/>
      <c r="B151" s="1074"/>
      <c r="C151" s="1046"/>
      <c r="D151" s="677"/>
      <c r="E151" s="677"/>
      <c r="F151" s="1044"/>
      <c r="G151" s="677"/>
      <c r="H151" s="677"/>
      <c r="I151" s="1045"/>
      <c r="J151" s="677"/>
      <c r="K151" s="677"/>
      <c r="L151" s="1045"/>
      <c r="M151" s="677"/>
      <c r="N151" s="677"/>
      <c r="O151" s="1045"/>
      <c r="P151" s="677"/>
      <c r="Q151" s="677"/>
      <c r="R151" s="616" t="s">
        <v>706</v>
      </c>
      <c r="S151" s="1048"/>
      <c r="T151" s="70"/>
      <c r="U151" s="6"/>
      <c r="W151" s="1043"/>
      <c r="X151" s="1074"/>
      <c r="Y151" s="1046"/>
      <c r="Z151" s="677"/>
      <c r="AA151" s="677"/>
      <c r="AB151" s="1044"/>
      <c r="AC151" s="677"/>
      <c r="AD151" s="677"/>
      <c r="AE151" s="1045"/>
      <c r="AF151" s="677"/>
      <c r="AG151" s="677"/>
      <c r="AH151" s="1045"/>
      <c r="AI151" s="677"/>
      <c r="AJ151" s="677"/>
      <c r="AK151" s="1045"/>
      <c r="AL151" s="677"/>
      <c r="AM151" s="677"/>
      <c r="AN151" s="616" t="s">
        <v>706</v>
      </c>
      <c r="AO151" s="1048"/>
      <c r="AP151" s="70"/>
      <c r="AQ151" s="6"/>
    </row>
    <row r="152" spans="1:43" ht="14.25" customHeight="1" thickBot="1">
      <c r="A152" s="1036" t="str">
        <f ca="1">IF(Score!A154="", "",Score!A154)</f>
        <v/>
      </c>
      <c r="B152" s="1040"/>
      <c r="C152" s="1039" t="str">
        <f ca="1">IF(Score!B154="", "",Score!B154)</f>
        <v/>
      </c>
      <c r="D152" s="678"/>
      <c r="E152" s="678"/>
      <c r="F152" s="1037"/>
      <c r="G152" s="678"/>
      <c r="H152" s="678"/>
      <c r="I152" s="1038"/>
      <c r="J152" s="678"/>
      <c r="K152" s="678"/>
      <c r="L152" s="1038"/>
      <c r="M152" s="678"/>
      <c r="N152" s="678"/>
      <c r="O152" s="1038"/>
      <c r="P152" s="678"/>
      <c r="Q152" s="678"/>
      <c r="R152" s="615" t="s">
        <v>705</v>
      </c>
      <c r="S152" s="1054" t="str">
        <f ca="1">IF(A152="", "", SUMIF(SK!B$88:B$162, ROW()+2, SK!D$88:D$162))</f>
        <v/>
      </c>
      <c r="T152" s="70"/>
      <c r="U152" s="6"/>
      <c r="W152" s="1036" t="str">
        <f ca="1">IF(Score!T154="", "",Score!T154)</f>
        <v/>
      </c>
      <c r="X152" s="1040"/>
      <c r="Y152" s="1039" t="str">
        <f ca="1">IF(Score!U154="", "",Score!U154)</f>
        <v/>
      </c>
      <c r="Z152" s="678"/>
      <c r="AA152" s="678"/>
      <c r="AB152" s="1037"/>
      <c r="AC152" s="678"/>
      <c r="AD152" s="678"/>
      <c r="AE152" s="1038"/>
      <c r="AF152" s="678"/>
      <c r="AG152" s="678"/>
      <c r="AH152" s="1038"/>
      <c r="AI152" s="678"/>
      <c r="AJ152" s="678"/>
      <c r="AK152" s="1038"/>
      <c r="AL152" s="678"/>
      <c r="AM152" s="678"/>
      <c r="AN152" s="615" t="s">
        <v>705</v>
      </c>
      <c r="AO152" s="1054" t="str">
        <f ca="1">IF(W152="", "", SUMIF(SK!R$88:R$162, ROW()+2, SK!T$88:T$162))</f>
        <v/>
      </c>
      <c r="AP152" s="70"/>
      <c r="AQ152" s="6"/>
    </row>
    <row r="153" spans="1:43" ht="14.25" customHeight="1" thickBot="1">
      <c r="A153" s="1036"/>
      <c r="B153" s="1041"/>
      <c r="C153" s="1039"/>
      <c r="D153" s="676"/>
      <c r="E153" s="676"/>
      <c r="F153" s="1037"/>
      <c r="G153" s="676"/>
      <c r="H153" s="676"/>
      <c r="I153" s="1038"/>
      <c r="J153" s="676"/>
      <c r="K153" s="676"/>
      <c r="L153" s="1038"/>
      <c r="M153" s="676"/>
      <c r="N153" s="676"/>
      <c r="O153" s="1038"/>
      <c r="P153" s="676"/>
      <c r="Q153" s="676"/>
      <c r="R153" s="616" t="s">
        <v>706</v>
      </c>
      <c r="S153" s="1054"/>
      <c r="T153" s="70"/>
      <c r="U153" s="6"/>
      <c r="W153" s="1036"/>
      <c r="X153" s="1041"/>
      <c r="Y153" s="1039"/>
      <c r="Z153" s="676"/>
      <c r="AA153" s="676"/>
      <c r="AB153" s="1037"/>
      <c r="AC153" s="676"/>
      <c r="AD153" s="676"/>
      <c r="AE153" s="1038"/>
      <c r="AF153" s="676"/>
      <c r="AG153" s="676"/>
      <c r="AH153" s="1038"/>
      <c r="AI153" s="676"/>
      <c r="AJ153" s="676"/>
      <c r="AK153" s="1038"/>
      <c r="AL153" s="676"/>
      <c r="AM153" s="676"/>
      <c r="AN153" s="616" t="s">
        <v>706</v>
      </c>
      <c r="AO153" s="1054"/>
      <c r="AP153" s="70"/>
      <c r="AQ153" s="6"/>
    </row>
    <row r="154" spans="1:43" ht="14.25" customHeight="1" thickBot="1">
      <c r="A154" s="1043" t="str">
        <f ca="1">IF(Score!A156="", "",Score!A156)</f>
        <v/>
      </c>
      <c r="B154" s="1051"/>
      <c r="C154" s="1046" t="str">
        <f ca="1">IF(Score!B156="", "",Score!B156)</f>
        <v/>
      </c>
      <c r="D154" s="675"/>
      <c r="E154" s="675"/>
      <c r="F154" s="1044"/>
      <c r="G154" s="675"/>
      <c r="H154" s="675"/>
      <c r="I154" s="1045"/>
      <c r="J154" s="675"/>
      <c r="K154" s="675"/>
      <c r="L154" s="1045"/>
      <c r="M154" s="675"/>
      <c r="N154" s="675"/>
      <c r="O154" s="1045"/>
      <c r="P154" s="675"/>
      <c r="Q154" s="675"/>
      <c r="R154" s="615" t="s">
        <v>705</v>
      </c>
      <c r="S154" s="1047" t="str">
        <f ca="1">IF(A154="", "", SUMIF(SK!B$88:B$162, ROW()+2, SK!D$88:D$162))</f>
        <v/>
      </c>
      <c r="T154" s="70"/>
      <c r="U154" s="6"/>
      <c r="W154" s="1043" t="str">
        <f ca="1">IF(Score!T156="", "",Score!T156)</f>
        <v/>
      </c>
      <c r="X154" s="1051"/>
      <c r="Y154" s="1046" t="str">
        <f ca="1">IF(Score!U156="", "",Score!U156)</f>
        <v/>
      </c>
      <c r="Z154" s="675"/>
      <c r="AA154" s="675"/>
      <c r="AB154" s="1044"/>
      <c r="AC154" s="675"/>
      <c r="AD154" s="675"/>
      <c r="AE154" s="1045"/>
      <c r="AF154" s="675"/>
      <c r="AG154" s="675"/>
      <c r="AH154" s="1045"/>
      <c r="AI154" s="675"/>
      <c r="AJ154" s="675"/>
      <c r="AK154" s="1045"/>
      <c r="AL154" s="675"/>
      <c r="AM154" s="675"/>
      <c r="AN154" s="615" t="s">
        <v>705</v>
      </c>
      <c r="AO154" s="1047" t="str">
        <f ca="1">IF(W154="", "", SUMIF(SK!R$88:R$162, ROW()+2, SK!T$88:T$162))</f>
        <v/>
      </c>
      <c r="AP154" s="70"/>
      <c r="AQ154" s="6"/>
    </row>
    <row r="155" spans="1:43" ht="14.25" customHeight="1" thickBot="1">
      <c r="A155" s="1043"/>
      <c r="B155" s="1074"/>
      <c r="C155" s="1046"/>
      <c r="D155" s="677"/>
      <c r="E155" s="677"/>
      <c r="F155" s="1044"/>
      <c r="G155" s="677"/>
      <c r="H155" s="677"/>
      <c r="I155" s="1045"/>
      <c r="J155" s="677"/>
      <c r="K155" s="677"/>
      <c r="L155" s="1045"/>
      <c r="M155" s="677"/>
      <c r="N155" s="677"/>
      <c r="O155" s="1045"/>
      <c r="P155" s="677"/>
      <c r="Q155" s="677"/>
      <c r="R155" s="616" t="s">
        <v>706</v>
      </c>
      <c r="S155" s="1048"/>
      <c r="T155" s="70"/>
      <c r="U155" s="6"/>
      <c r="W155" s="1043"/>
      <c r="X155" s="1074"/>
      <c r="Y155" s="1046"/>
      <c r="Z155" s="677"/>
      <c r="AA155" s="677"/>
      <c r="AB155" s="1044"/>
      <c r="AC155" s="677"/>
      <c r="AD155" s="677"/>
      <c r="AE155" s="1045"/>
      <c r="AF155" s="677"/>
      <c r="AG155" s="677"/>
      <c r="AH155" s="1045"/>
      <c r="AI155" s="677"/>
      <c r="AJ155" s="677"/>
      <c r="AK155" s="1045"/>
      <c r="AL155" s="677"/>
      <c r="AM155" s="677"/>
      <c r="AN155" s="616" t="s">
        <v>706</v>
      </c>
      <c r="AO155" s="1048"/>
      <c r="AP155" s="70"/>
      <c r="AQ155" s="6"/>
    </row>
    <row r="156" spans="1:43" ht="14.25" customHeight="1" thickBot="1">
      <c r="A156" s="1036" t="str">
        <f ca="1">IF(Score!A158="", "",Score!A158)</f>
        <v/>
      </c>
      <c r="B156" s="1040"/>
      <c r="C156" s="1039" t="str">
        <f ca="1">IF(Score!B158="", "",Score!B158)</f>
        <v/>
      </c>
      <c r="D156" s="678"/>
      <c r="E156" s="678"/>
      <c r="F156" s="1037"/>
      <c r="G156" s="678"/>
      <c r="H156" s="678"/>
      <c r="I156" s="1038"/>
      <c r="J156" s="678"/>
      <c r="K156" s="678"/>
      <c r="L156" s="1038"/>
      <c r="M156" s="678"/>
      <c r="N156" s="678"/>
      <c r="O156" s="1038"/>
      <c r="P156" s="678"/>
      <c r="Q156" s="678"/>
      <c r="R156" s="615" t="s">
        <v>705</v>
      </c>
      <c r="S156" s="1054" t="str">
        <f ca="1">IF(A156="", "", SUMIF(SK!B$88:B$162, ROW()+2, SK!D$88:D$162))</f>
        <v/>
      </c>
      <c r="T156" s="70"/>
      <c r="U156" s="6"/>
      <c r="W156" s="1036" t="str">
        <f ca="1">IF(Score!T158="", "",Score!T158)</f>
        <v/>
      </c>
      <c r="X156" s="1040"/>
      <c r="Y156" s="1039" t="str">
        <f ca="1">IF(Score!U158="", "",Score!U158)</f>
        <v/>
      </c>
      <c r="Z156" s="678"/>
      <c r="AA156" s="678"/>
      <c r="AB156" s="1037"/>
      <c r="AC156" s="678"/>
      <c r="AD156" s="678"/>
      <c r="AE156" s="1038"/>
      <c r="AF156" s="678"/>
      <c r="AG156" s="678"/>
      <c r="AH156" s="1038"/>
      <c r="AI156" s="678"/>
      <c r="AJ156" s="678"/>
      <c r="AK156" s="1038"/>
      <c r="AL156" s="678"/>
      <c r="AM156" s="678"/>
      <c r="AN156" s="615" t="s">
        <v>705</v>
      </c>
      <c r="AO156" s="1054" t="str">
        <f ca="1">IF(W156="", "", SUMIF(SK!R$88:R$162, ROW()+2, SK!T$88:T$162))</f>
        <v/>
      </c>
      <c r="AP156" s="70"/>
      <c r="AQ156" s="6"/>
    </row>
    <row r="157" spans="1:43" ht="14.25" customHeight="1" thickBot="1">
      <c r="A157" s="1036"/>
      <c r="B157" s="1041"/>
      <c r="C157" s="1039"/>
      <c r="D157" s="676"/>
      <c r="E157" s="676"/>
      <c r="F157" s="1037"/>
      <c r="G157" s="676"/>
      <c r="H157" s="676"/>
      <c r="I157" s="1038"/>
      <c r="J157" s="676"/>
      <c r="K157" s="676"/>
      <c r="L157" s="1038"/>
      <c r="M157" s="676"/>
      <c r="N157" s="676"/>
      <c r="O157" s="1038"/>
      <c r="P157" s="676"/>
      <c r="Q157" s="676"/>
      <c r="R157" s="616" t="s">
        <v>706</v>
      </c>
      <c r="S157" s="1054"/>
      <c r="T157" s="70"/>
      <c r="U157" s="6"/>
      <c r="W157" s="1036"/>
      <c r="X157" s="1041"/>
      <c r="Y157" s="1039"/>
      <c r="Z157" s="676"/>
      <c r="AA157" s="676"/>
      <c r="AB157" s="1037"/>
      <c r="AC157" s="676"/>
      <c r="AD157" s="676"/>
      <c r="AE157" s="1038"/>
      <c r="AF157" s="676"/>
      <c r="AG157" s="676"/>
      <c r="AH157" s="1038"/>
      <c r="AI157" s="676"/>
      <c r="AJ157" s="676"/>
      <c r="AK157" s="1038"/>
      <c r="AL157" s="676"/>
      <c r="AM157" s="676"/>
      <c r="AN157" s="616" t="s">
        <v>706</v>
      </c>
      <c r="AO157" s="1054"/>
      <c r="AP157" s="70"/>
      <c r="AQ157" s="6"/>
    </row>
    <row r="158" spans="1:43" ht="14.25" customHeight="1" thickBot="1">
      <c r="A158" s="1043" t="str">
        <f ca="1">IF(Score!A160="", "",Score!A160)</f>
        <v/>
      </c>
      <c r="B158" s="1051"/>
      <c r="C158" s="1046" t="str">
        <f ca="1">IF(Score!B160="", "",Score!B160)</f>
        <v/>
      </c>
      <c r="D158" s="675"/>
      <c r="E158" s="675"/>
      <c r="F158" s="1044"/>
      <c r="G158" s="675"/>
      <c r="H158" s="675"/>
      <c r="I158" s="1045"/>
      <c r="J158" s="675"/>
      <c r="K158" s="675"/>
      <c r="L158" s="1045"/>
      <c r="M158" s="675"/>
      <c r="N158" s="675"/>
      <c r="O158" s="1045"/>
      <c r="P158" s="675"/>
      <c r="Q158" s="675"/>
      <c r="R158" s="615" t="s">
        <v>705</v>
      </c>
      <c r="S158" s="1047" t="str">
        <f ca="1">IF(A158="", "", SUMIF(SK!B$88:B$162, ROW()+2, SK!D$88:D$162))</f>
        <v/>
      </c>
      <c r="T158" s="70"/>
      <c r="U158" s="6"/>
      <c r="W158" s="1043" t="str">
        <f ca="1">IF(Score!T160="", "",Score!T160)</f>
        <v/>
      </c>
      <c r="X158" s="1051"/>
      <c r="Y158" s="1046" t="str">
        <f ca="1">IF(Score!U160="", "",Score!U160)</f>
        <v/>
      </c>
      <c r="Z158" s="675"/>
      <c r="AA158" s="675"/>
      <c r="AB158" s="1044"/>
      <c r="AC158" s="675"/>
      <c r="AD158" s="675"/>
      <c r="AE158" s="1045"/>
      <c r="AF158" s="675"/>
      <c r="AG158" s="675"/>
      <c r="AH158" s="1045"/>
      <c r="AI158" s="675"/>
      <c r="AJ158" s="675"/>
      <c r="AK158" s="1045"/>
      <c r="AL158" s="675"/>
      <c r="AM158" s="675"/>
      <c r="AN158" s="615" t="s">
        <v>705</v>
      </c>
      <c r="AO158" s="1047" t="str">
        <f ca="1">IF(W158="", "", SUMIF(SK!R$88:R$162, ROW()+2, SK!T$88:T$162))</f>
        <v/>
      </c>
      <c r="AP158" s="70"/>
      <c r="AQ158" s="6"/>
    </row>
    <row r="159" spans="1:43" ht="14.25" customHeight="1" thickBot="1">
      <c r="A159" s="1043"/>
      <c r="B159" s="1074"/>
      <c r="C159" s="1046"/>
      <c r="D159" s="677"/>
      <c r="E159" s="677"/>
      <c r="F159" s="1044"/>
      <c r="G159" s="677"/>
      <c r="H159" s="677"/>
      <c r="I159" s="1045"/>
      <c r="J159" s="677"/>
      <c r="K159" s="677"/>
      <c r="L159" s="1045"/>
      <c r="M159" s="677"/>
      <c r="N159" s="677"/>
      <c r="O159" s="1045"/>
      <c r="P159" s="677"/>
      <c r="Q159" s="677"/>
      <c r="R159" s="616" t="s">
        <v>706</v>
      </c>
      <c r="S159" s="1048"/>
      <c r="T159" s="70"/>
      <c r="U159" s="6"/>
      <c r="W159" s="1043"/>
      <c r="X159" s="1074"/>
      <c r="Y159" s="1046"/>
      <c r="Z159" s="677"/>
      <c r="AA159" s="677"/>
      <c r="AB159" s="1044"/>
      <c r="AC159" s="677"/>
      <c r="AD159" s="677"/>
      <c r="AE159" s="1045"/>
      <c r="AF159" s="677"/>
      <c r="AG159" s="677"/>
      <c r="AH159" s="1045"/>
      <c r="AI159" s="677"/>
      <c r="AJ159" s="677"/>
      <c r="AK159" s="1045"/>
      <c r="AL159" s="677"/>
      <c r="AM159" s="677"/>
      <c r="AN159" s="616" t="s">
        <v>706</v>
      </c>
      <c r="AO159" s="1048"/>
      <c r="AP159" s="70"/>
      <c r="AQ159" s="6"/>
    </row>
    <row r="160" spans="1:43" ht="14.25" customHeight="1" thickBot="1">
      <c r="A160" s="1036" t="str">
        <f ca="1">IF(Score!A162="", "",Score!A162)</f>
        <v/>
      </c>
      <c r="B160" s="1040"/>
      <c r="C160" s="1039" t="str">
        <f ca="1">IF(Score!B162="", "",Score!B162)</f>
        <v/>
      </c>
      <c r="D160" s="678"/>
      <c r="E160" s="678"/>
      <c r="F160" s="1037"/>
      <c r="G160" s="678"/>
      <c r="H160" s="678"/>
      <c r="I160" s="1038"/>
      <c r="J160" s="678"/>
      <c r="K160" s="678"/>
      <c r="L160" s="1038"/>
      <c r="M160" s="678"/>
      <c r="N160" s="678"/>
      <c r="O160" s="1038"/>
      <c r="P160" s="678"/>
      <c r="Q160" s="678"/>
      <c r="R160" s="615" t="s">
        <v>705</v>
      </c>
      <c r="S160" s="1054" t="str">
        <f ca="1">IF(A160="", "", SUMIF(SK!B$88:B$162, ROW()+2, SK!D$88:D$162))</f>
        <v/>
      </c>
      <c r="T160" s="70"/>
      <c r="U160" s="6"/>
      <c r="W160" s="1036" t="str">
        <f ca="1">IF(Score!T162="", "",Score!T162)</f>
        <v/>
      </c>
      <c r="X160" s="1040"/>
      <c r="Y160" s="1039" t="str">
        <f ca="1">IF(Score!U162="", "",Score!U162)</f>
        <v/>
      </c>
      <c r="Z160" s="678"/>
      <c r="AA160" s="678"/>
      <c r="AB160" s="1037"/>
      <c r="AC160" s="678"/>
      <c r="AD160" s="678"/>
      <c r="AE160" s="1038"/>
      <c r="AF160" s="678"/>
      <c r="AG160" s="678"/>
      <c r="AH160" s="1038"/>
      <c r="AI160" s="678"/>
      <c r="AJ160" s="678"/>
      <c r="AK160" s="1038"/>
      <c r="AL160" s="678"/>
      <c r="AM160" s="678"/>
      <c r="AN160" s="615" t="s">
        <v>705</v>
      </c>
      <c r="AO160" s="1054" t="str">
        <f ca="1">IF(W160="", "", SUMIF(SK!R$88:R$162, ROW()+2, SK!T$88:T$162))</f>
        <v/>
      </c>
      <c r="AP160" s="70"/>
      <c r="AQ160" s="6"/>
    </row>
    <row r="161" spans="1:44" ht="14.25" customHeight="1" thickBot="1">
      <c r="A161" s="1036"/>
      <c r="B161" s="1041"/>
      <c r="C161" s="1039"/>
      <c r="D161" s="676"/>
      <c r="E161" s="676"/>
      <c r="F161" s="1037"/>
      <c r="G161" s="676"/>
      <c r="H161" s="676"/>
      <c r="I161" s="1038"/>
      <c r="J161" s="676"/>
      <c r="K161" s="676"/>
      <c r="L161" s="1038"/>
      <c r="M161" s="676"/>
      <c r="N161" s="676"/>
      <c r="O161" s="1038"/>
      <c r="P161" s="676"/>
      <c r="Q161" s="676"/>
      <c r="R161" s="616" t="s">
        <v>706</v>
      </c>
      <c r="S161" s="1054"/>
      <c r="T161" s="70"/>
      <c r="U161" s="6"/>
      <c r="W161" s="1036"/>
      <c r="X161" s="1041"/>
      <c r="Y161" s="1039"/>
      <c r="Z161" s="676"/>
      <c r="AA161" s="676"/>
      <c r="AB161" s="1037"/>
      <c r="AC161" s="676"/>
      <c r="AD161" s="676"/>
      <c r="AE161" s="1038"/>
      <c r="AF161" s="676"/>
      <c r="AG161" s="676"/>
      <c r="AH161" s="1038"/>
      <c r="AI161" s="676"/>
      <c r="AJ161" s="676"/>
      <c r="AK161" s="1038"/>
      <c r="AL161" s="676"/>
      <c r="AM161" s="676"/>
      <c r="AN161" s="616" t="s">
        <v>706</v>
      </c>
      <c r="AO161" s="1054"/>
      <c r="AP161" s="70"/>
      <c r="AQ161" s="6"/>
    </row>
    <row r="162" spans="1:44" ht="14.25" customHeight="1" thickBot="1">
      <c r="A162" s="1043" t="str">
        <f ca="1">IF(Score!A164="", "",Score!A164)</f>
        <v/>
      </c>
      <c r="B162" s="1051"/>
      <c r="C162" s="1046" t="str">
        <f ca="1">IF(Score!B164="", "",Score!B164)</f>
        <v/>
      </c>
      <c r="D162" s="675"/>
      <c r="E162" s="675"/>
      <c r="F162" s="1044"/>
      <c r="G162" s="675"/>
      <c r="H162" s="675"/>
      <c r="I162" s="1045"/>
      <c r="J162" s="675"/>
      <c r="K162" s="675"/>
      <c r="L162" s="1045"/>
      <c r="M162" s="675"/>
      <c r="N162" s="675"/>
      <c r="O162" s="1045"/>
      <c r="P162" s="675"/>
      <c r="Q162" s="675"/>
      <c r="R162" s="615" t="s">
        <v>705</v>
      </c>
      <c r="S162" s="1047" t="str">
        <f ca="1">IF(A162="", "", SUMIF(SK!B$88:B$162, ROW()+2, SK!D$88:D$162))</f>
        <v/>
      </c>
      <c r="T162" s="70"/>
      <c r="U162" s="6"/>
      <c r="W162" s="1043" t="str">
        <f ca="1">IF(Score!T164="", "",Score!T164)</f>
        <v/>
      </c>
      <c r="X162" s="1051"/>
      <c r="Y162" s="1046" t="str">
        <f ca="1">IF(Score!U164="", "",Score!U164)</f>
        <v/>
      </c>
      <c r="Z162" s="675"/>
      <c r="AA162" s="675"/>
      <c r="AB162" s="1044"/>
      <c r="AC162" s="675"/>
      <c r="AD162" s="675"/>
      <c r="AE162" s="1045"/>
      <c r="AF162" s="675"/>
      <c r="AG162" s="675"/>
      <c r="AH162" s="1045"/>
      <c r="AI162" s="675"/>
      <c r="AJ162" s="675"/>
      <c r="AK162" s="1045"/>
      <c r="AL162" s="675"/>
      <c r="AM162" s="675"/>
      <c r="AN162" s="615" t="s">
        <v>705</v>
      </c>
      <c r="AO162" s="1047" t="str">
        <f ca="1">IF(W162="", "", SUMIF(SK!R$88:R$162, ROW()+2, SK!T$88:T$162))</f>
        <v/>
      </c>
      <c r="AP162" s="70"/>
      <c r="AQ162" s="6"/>
    </row>
    <row r="163" spans="1:44" ht="14.25" customHeight="1" thickBot="1">
      <c r="A163" s="1043"/>
      <c r="B163" s="1074"/>
      <c r="C163" s="1046"/>
      <c r="D163" s="677"/>
      <c r="E163" s="677"/>
      <c r="F163" s="1044"/>
      <c r="G163" s="677"/>
      <c r="H163" s="677"/>
      <c r="I163" s="1045"/>
      <c r="J163" s="677"/>
      <c r="K163" s="677"/>
      <c r="L163" s="1045"/>
      <c r="M163" s="677"/>
      <c r="N163" s="677"/>
      <c r="O163" s="1045"/>
      <c r="P163" s="677"/>
      <c r="Q163" s="677"/>
      <c r="R163" s="616" t="s">
        <v>706</v>
      </c>
      <c r="S163" s="1048"/>
      <c r="T163" s="70"/>
      <c r="U163" s="6"/>
      <c r="W163" s="1043"/>
      <c r="X163" s="1074"/>
      <c r="Y163" s="1046"/>
      <c r="Z163" s="677"/>
      <c r="AA163" s="677"/>
      <c r="AB163" s="1044"/>
      <c r="AC163" s="677"/>
      <c r="AD163" s="677"/>
      <c r="AE163" s="1045"/>
      <c r="AF163" s="677"/>
      <c r="AG163" s="677"/>
      <c r="AH163" s="1045"/>
      <c r="AI163" s="677"/>
      <c r="AJ163" s="677"/>
      <c r="AK163" s="1045"/>
      <c r="AL163" s="677"/>
      <c r="AM163" s="677"/>
      <c r="AN163" s="616" t="s">
        <v>706</v>
      </c>
      <c r="AO163" s="1048"/>
      <c r="AP163" s="70"/>
      <c r="AQ163" s="6"/>
    </row>
    <row r="164" spans="1:44" ht="12" customHeight="1">
      <c r="A164" s="1083" t="s">
        <v>477</v>
      </c>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5"/>
      <c r="W164" s="1083" t="s">
        <v>477</v>
      </c>
      <c r="X164" s="1084"/>
      <c r="Y164" s="1084"/>
      <c r="Z164" s="1084"/>
      <c r="AA164" s="1084"/>
      <c r="AB164" s="1084"/>
      <c r="AC164" s="1084"/>
      <c r="AD164" s="1084"/>
      <c r="AE164" s="1084"/>
      <c r="AF164" s="1084"/>
      <c r="AG164" s="1084"/>
      <c r="AH164" s="1084"/>
      <c r="AI164" s="1084"/>
      <c r="AJ164" s="1084"/>
      <c r="AK164" s="1084"/>
      <c r="AL164" s="1084"/>
      <c r="AM164" s="1084"/>
      <c r="AN164" s="1084"/>
      <c r="AO164" s="1084"/>
      <c r="AP164" s="1084"/>
      <c r="AQ164" s="1084"/>
      <c r="AR164" s="1085"/>
    </row>
    <row r="165" spans="1:44" ht="12" customHeight="1">
      <c r="A165" s="1061" t="s">
        <v>449</v>
      </c>
      <c r="B165" s="1062"/>
      <c r="C165" s="1062"/>
      <c r="D165" s="1062"/>
      <c r="E165" s="1062"/>
      <c r="F165" s="1062"/>
      <c r="G165" s="1062"/>
      <c r="H165" s="1062"/>
      <c r="I165" s="1062"/>
      <c r="J165" s="1062"/>
      <c r="K165" s="1062"/>
      <c r="L165" s="1062"/>
      <c r="M165" s="1062"/>
      <c r="N165" s="1062"/>
      <c r="O165" s="1062"/>
      <c r="P165" s="1062"/>
      <c r="Q165" s="1062"/>
      <c r="R165" s="1062"/>
      <c r="S165" s="1062"/>
      <c r="T165" s="1062"/>
      <c r="U165" s="1062"/>
      <c r="V165" s="1063"/>
      <c r="W165" s="1061" t="s">
        <v>449</v>
      </c>
      <c r="X165" s="1062"/>
      <c r="Y165" s="1062"/>
      <c r="Z165" s="1062"/>
      <c r="AA165" s="1062"/>
      <c r="AB165" s="1062"/>
      <c r="AC165" s="1062"/>
      <c r="AD165" s="1062"/>
      <c r="AE165" s="1062"/>
      <c r="AF165" s="1062"/>
      <c r="AG165" s="1062"/>
      <c r="AH165" s="1062"/>
      <c r="AI165" s="1062"/>
      <c r="AJ165" s="1062"/>
      <c r="AK165" s="1062"/>
      <c r="AL165" s="1062"/>
      <c r="AM165" s="1062"/>
      <c r="AN165" s="1062"/>
      <c r="AO165" s="1062"/>
      <c r="AP165" s="1062"/>
      <c r="AQ165" s="1062"/>
      <c r="AR165" s="1063"/>
    </row>
    <row r="166" spans="1:44" ht="12" customHeight="1">
      <c r="A166" s="1061" t="s">
        <v>478</v>
      </c>
      <c r="B166" s="1062"/>
      <c r="C166" s="1062"/>
      <c r="D166" s="1062"/>
      <c r="E166" s="1062"/>
      <c r="F166" s="1062"/>
      <c r="G166" s="1062"/>
      <c r="H166" s="1062"/>
      <c r="I166" s="1062"/>
      <c r="J166" s="1062"/>
      <c r="K166" s="1062"/>
      <c r="L166" s="1062"/>
      <c r="M166" s="1062"/>
      <c r="N166" s="1062"/>
      <c r="O166" s="1062"/>
      <c r="P166" s="1062"/>
      <c r="Q166" s="1062"/>
      <c r="R166" s="1062"/>
      <c r="S166" s="1062"/>
      <c r="T166" s="1062"/>
      <c r="U166" s="1062"/>
      <c r="V166" s="1063"/>
      <c r="W166" s="1061" t="s">
        <v>478</v>
      </c>
      <c r="X166" s="1062"/>
      <c r="Y166" s="1062"/>
      <c r="Z166" s="1062"/>
      <c r="AA166" s="1062"/>
      <c r="AB166" s="1062"/>
      <c r="AC166" s="1062"/>
      <c r="AD166" s="1062"/>
      <c r="AE166" s="1062"/>
      <c r="AF166" s="1062"/>
      <c r="AG166" s="1062"/>
      <c r="AH166" s="1062"/>
      <c r="AI166" s="1062"/>
      <c r="AJ166" s="1062"/>
      <c r="AK166" s="1062"/>
      <c r="AL166" s="1062"/>
      <c r="AM166" s="1062"/>
      <c r="AN166" s="1062"/>
      <c r="AO166" s="1062"/>
      <c r="AP166" s="1062"/>
      <c r="AQ166" s="1062"/>
      <c r="AR166" s="1063"/>
    </row>
    <row r="167" spans="1:44" ht="12" customHeight="1">
      <c r="A167" s="1061" t="s">
        <v>490</v>
      </c>
      <c r="B167" s="1062"/>
      <c r="C167" s="1062"/>
      <c r="D167" s="1062"/>
      <c r="E167" s="1062"/>
      <c r="F167" s="1062"/>
      <c r="G167" s="1062"/>
      <c r="H167" s="1062"/>
      <c r="I167" s="1062"/>
      <c r="J167" s="1062"/>
      <c r="K167" s="1062"/>
      <c r="L167" s="1062"/>
      <c r="M167" s="1062"/>
      <c r="N167" s="1062"/>
      <c r="O167" s="1062"/>
      <c r="P167" s="1062"/>
      <c r="Q167" s="1062"/>
      <c r="R167" s="1062"/>
      <c r="S167" s="1062"/>
      <c r="T167" s="1062"/>
      <c r="U167" s="1062"/>
      <c r="V167" s="1063"/>
      <c r="W167" s="1061" t="s">
        <v>490</v>
      </c>
      <c r="X167" s="1062"/>
      <c r="Y167" s="1062"/>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3"/>
    </row>
    <row r="168" spans="1:44" ht="12" customHeight="1" thickBot="1">
      <c r="A168" s="1064" t="s">
        <v>578</v>
      </c>
      <c r="B168" s="1065"/>
      <c r="C168" s="1065"/>
      <c r="D168" s="1065"/>
      <c r="E168" s="1065"/>
      <c r="F168" s="1065"/>
      <c r="G168" s="1065"/>
      <c r="H168" s="1065"/>
      <c r="I168" s="1065"/>
      <c r="J168" s="1065"/>
      <c r="K168" s="1065"/>
      <c r="L168" s="1065"/>
      <c r="M168" s="1065"/>
      <c r="N168" s="1065"/>
      <c r="O168" s="1065"/>
      <c r="P168" s="1065"/>
      <c r="Q168" s="1065"/>
      <c r="R168" s="1065"/>
      <c r="S168" s="1065"/>
      <c r="T168" s="1065"/>
      <c r="U168" s="1065"/>
      <c r="V168" s="1066"/>
      <c r="W168" s="1064" t="s">
        <v>578</v>
      </c>
      <c r="X168" s="1065"/>
      <c r="Y168" s="1065"/>
      <c r="Z168" s="1065"/>
      <c r="AA168" s="1065"/>
      <c r="AB168" s="1065"/>
      <c r="AC168" s="1065"/>
      <c r="AD168" s="1065"/>
      <c r="AE168" s="1065"/>
      <c r="AF168" s="1065"/>
      <c r="AG168" s="1065"/>
      <c r="AH168" s="1065"/>
      <c r="AI168" s="1065"/>
      <c r="AJ168" s="1065"/>
      <c r="AK168" s="1065"/>
      <c r="AL168" s="1065"/>
      <c r="AM168" s="1065"/>
      <c r="AN168" s="1065"/>
      <c r="AO168" s="1065"/>
      <c r="AP168" s="1065"/>
      <c r="AQ168" s="1065"/>
      <c r="AR168" s="1066"/>
    </row>
  </sheetData>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91" t="s">
        <v>346</v>
      </c>
      <c r="B1" s="1092"/>
      <c r="C1" s="1092"/>
      <c r="D1" s="1092"/>
      <c r="E1" s="1093"/>
    </row>
    <row r="2" spans="1:5" ht="33" customHeight="1">
      <c r="A2" s="330" t="s">
        <v>347</v>
      </c>
      <c r="B2" s="575"/>
      <c r="C2" s="330" t="s">
        <v>385</v>
      </c>
      <c r="D2" s="1094"/>
      <c r="E2" s="1094"/>
    </row>
    <row r="3" spans="1:5" ht="33" customHeight="1">
      <c r="A3" s="330" t="s">
        <v>386</v>
      </c>
      <c r="B3" s="576" t="s">
        <v>387</v>
      </c>
      <c r="C3" s="330" t="s">
        <v>388</v>
      </c>
      <c r="D3" s="1094"/>
      <c r="E3" s="1094"/>
    </row>
    <row r="4" spans="1:5" ht="37.5" customHeight="1">
      <c r="A4" s="329" t="s">
        <v>545</v>
      </c>
      <c r="B4" s="1089" t="s">
        <v>547</v>
      </c>
      <c r="C4" s="1090"/>
      <c r="D4" s="1090"/>
      <c r="E4" s="1090"/>
    </row>
    <row r="5" spans="1:5" ht="30" customHeight="1">
      <c r="A5" s="1086" t="s">
        <v>467</v>
      </c>
      <c r="B5" s="1086"/>
      <c r="C5" s="1087"/>
      <c r="D5" s="1087"/>
      <c r="E5" s="1087"/>
    </row>
    <row r="6" spans="1:5" ht="30" customHeight="1">
      <c r="A6" s="1086" t="s">
        <v>546</v>
      </c>
      <c r="B6" s="1086"/>
      <c r="C6" s="1087"/>
      <c r="D6" s="1087"/>
      <c r="E6" s="1087"/>
    </row>
    <row r="7" spans="1:5" ht="90" customHeight="1" thickBot="1">
      <c r="A7" s="1088" t="s">
        <v>389</v>
      </c>
      <c r="B7" s="1088"/>
      <c r="C7" s="1088"/>
      <c r="D7" s="1088"/>
      <c r="E7" s="1088"/>
    </row>
    <row r="8" spans="1:5" ht="30" customHeight="1">
      <c r="A8" s="1086" t="s">
        <v>348</v>
      </c>
      <c r="B8" s="1086"/>
      <c r="C8" s="1087"/>
      <c r="D8" s="1087"/>
      <c r="E8" s="1087"/>
    </row>
    <row r="9" spans="1:5" ht="30" customHeight="1">
      <c r="A9" s="1086" t="s">
        <v>546</v>
      </c>
      <c r="B9" s="1086"/>
      <c r="C9" s="1087"/>
      <c r="D9" s="1087"/>
      <c r="E9" s="1087"/>
    </row>
    <row r="10" spans="1:5" ht="90" customHeight="1" thickBot="1">
      <c r="A10" s="1088" t="s">
        <v>389</v>
      </c>
      <c r="B10" s="1088"/>
      <c r="C10" s="1088"/>
      <c r="D10" s="1088"/>
      <c r="E10" s="1088"/>
    </row>
    <row r="11" spans="1:5" ht="30" customHeight="1">
      <c r="A11" s="1086" t="s">
        <v>349</v>
      </c>
      <c r="B11" s="1086"/>
      <c r="C11" s="1087"/>
      <c r="D11" s="1087"/>
      <c r="E11" s="1087"/>
    </row>
    <row r="12" spans="1:5" ht="30" customHeight="1">
      <c r="A12" s="1086" t="s">
        <v>546</v>
      </c>
      <c r="B12" s="1086"/>
      <c r="C12" s="1087"/>
      <c r="D12" s="1087"/>
      <c r="E12" s="1087"/>
    </row>
    <row r="13" spans="1:5" ht="90" customHeight="1" thickBot="1">
      <c r="A13" s="1088" t="s">
        <v>389</v>
      </c>
      <c r="B13" s="1088"/>
      <c r="C13" s="1088"/>
      <c r="D13" s="1088"/>
      <c r="E13" s="1088"/>
    </row>
    <row r="14" spans="1:5" ht="30" customHeight="1">
      <c r="A14" s="1086" t="s">
        <v>450</v>
      </c>
      <c r="B14" s="1086"/>
      <c r="C14" s="1087"/>
      <c r="D14" s="1087"/>
      <c r="E14" s="1087"/>
    </row>
    <row r="15" spans="1:5" ht="30" customHeight="1">
      <c r="A15" s="1086" t="s">
        <v>546</v>
      </c>
      <c r="B15" s="1086"/>
      <c r="C15" s="1087"/>
      <c r="D15" s="1087"/>
      <c r="E15" s="1087"/>
    </row>
    <row r="16" spans="1:5" ht="90" customHeight="1" thickBot="1">
      <c r="A16" s="1088" t="s">
        <v>389</v>
      </c>
      <c r="B16" s="1088"/>
      <c r="C16" s="1088"/>
      <c r="D16" s="1088"/>
      <c r="E16" s="1088"/>
    </row>
    <row r="17" spans="1:5" ht="30" customHeight="1">
      <c r="A17" s="1086" t="s">
        <v>91</v>
      </c>
      <c r="B17" s="1086"/>
      <c r="C17" s="1087"/>
      <c r="D17" s="1087"/>
      <c r="E17" s="1087"/>
    </row>
    <row r="18" spans="1:5" ht="30" customHeight="1">
      <c r="A18" s="1086" t="s">
        <v>546</v>
      </c>
      <c r="B18" s="1086"/>
      <c r="C18" s="1087"/>
      <c r="D18" s="1087"/>
      <c r="E18" s="1087"/>
    </row>
    <row r="19" spans="1:5" ht="90" customHeight="1" thickBot="1">
      <c r="A19" s="1088" t="s">
        <v>389</v>
      </c>
      <c r="B19" s="1088"/>
      <c r="C19" s="1088"/>
      <c r="D19" s="1088"/>
      <c r="E19" s="1088"/>
    </row>
    <row r="20" spans="1:5" ht="30" customHeight="1">
      <c r="A20" s="1086" t="s">
        <v>534</v>
      </c>
      <c r="B20" s="1086"/>
      <c r="C20" s="1087"/>
      <c r="D20" s="1087"/>
      <c r="E20" s="1087"/>
    </row>
    <row r="21" spans="1:5" ht="30" customHeight="1">
      <c r="A21" s="1086" t="s">
        <v>546</v>
      </c>
      <c r="B21" s="1086"/>
      <c r="C21" s="1087"/>
      <c r="D21" s="1087"/>
      <c r="E21" s="1087"/>
    </row>
    <row r="22" spans="1:5" ht="90" customHeight="1" thickBot="1">
      <c r="A22" s="1088" t="s">
        <v>389</v>
      </c>
      <c r="B22" s="1088"/>
      <c r="C22" s="1088"/>
      <c r="D22" s="1088"/>
      <c r="E22" s="1088"/>
    </row>
    <row r="23" spans="1:5" ht="30" customHeight="1">
      <c r="A23" s="1096" t="s">
        <v>390</v>
      </c>
      <c r="B23" s="1096"/>
      <c r="C23" s="1096"/>
      <c r="D23" s="1096"/>
      <c r="E23" s="1096"/>
    </row>
    <row r="24" spans="1:5" ht="37.5" customHeight="1">
      <c r="A24" s="1095" t="s">
        <v>289</v>
      </c>
      <c r="B24" s="1095"/>
      <c r="C24" s="1095" t="s">
        <v>290</v>
      </c>
      <c r="D24" s="1095"/>
      <c r="E24" s="4" t="s">
        <v>468</v>
      </c>
    </row>
    <row r="25" spans="1:5" ht="37.5" customHeight="1">
      <c r="A25" s="1095" t="s">
        <v>92</v>
      </c>
      <c r="B25" s="1095"/>
      <c r="C25" s="1095" t="s">
        <v>291</v>
      </c>
      <c r="D25" s="1095"/>
      <c r="E25" s="4" t="s">
        <v>292</v>
      </c>
    </row>
  </sheetData>
  <sheetCalcPr fullCalcOnLoad="1"/>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K1" workbookViewId="0">
      <selection activeCell="A30" sqref="A30"/>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107" t="s">
        <v>93</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8" t="s">
        <v>298</v>
      </c>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row>
    <row r="2" spans="1:72" ht="15" customHeight="1">
      <c r="A2" s="1109" t="str">
        <f ca="1">IF(IBRF!B8="","PLEASE FILL IN THE IBRF TAB!",IBRF!$B$8&amp;"/"&amp;IBRF!$B$9&amp;" vs. "&amp;IBRF!$H$8&amp;"/"&amp;IBRF!$H$9&amp;IF(IBRF!$K$3="",""," Bout "&amp;IBRF!$K$3))</f>
        <v>Detroit Derby Girls/Detroit Pistoffs vs. Detroit Derby Girls/Pistolwhippers Bout 199</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t="str">
        <f>A2</f>
        <v>Detroit Derby Girls/Detroit Pistoffs vs. Detroit Derby Girls/Pistolwhippers Bout 199</v>
      </c>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1109"/>
      <c r="BK2" s="1109"/>
      <c r="BL2" s="1109"/>
      <c r="BM2" s="1109"/>
      <c r="BN2" s="1109"/>
      <c r="BO2" s="1109"/>
      <c r="BP2" s="1109"/>
      <c r="BQ2" s="1109"/>
      <c r="BR2" s="1109"/>
      <c r="BS2" s="1109"/>
      <c r="BT2" s="1109"/>
    </row>
    <row r="3" spans="1:72" ht="15" customHeight="1" thickBot="1">
      <c r="A3" s="1110">
        <f ca="1">IF(IBRF!$B$5="","ENTER DATE ON IBRF TAB!",IBRF!$B$5)</f>
        <v>41377</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c r="AG3" s="1110"/>
      <c r="AH3" s="1110"/>
      <c r="AI3" s="1110"/>
      <c r="AJ3" s="1111">
        <f>A3</f>
        <v>41377</v>
      </c>
      <c r="AK3" s="1111"/>
      <c r="AL3" s="1111"/>
      <c r="AM3" s="1111"/>
      <c r="AN3" s="1111"/>
      <c r="AO3" s="1111"/>
      <c r="AP3" s="1111"/>
      <c r="AQ3" s="1111"/>
      <c r="AR3" s="1111"/>
      <c r="AS3" s="1111"/>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row>
    <row r="4" spans="1:72" ht="15" customHeight="1" thickBot="1">
      <c r="A4" s="1115" t="s">
        <v>299</v>
      </c>
      <c r="B4" s="1115"/>
      <c r="C4" s="1115" t="s">
        <v>300</v>
      </c>
      <c r="D4" s="1115"/>
      <c r="E4" s="1115"/>
      <c r="F4" s="1115"/>
      <c r="G4" s="214"/>
      <c r="H4" s="3"/>
      <c r="I4" s="2"/>
      <c r="J4" s="1112" t="s">
        <v>302</v>
      </c>
      <c r="K4" s="1112"/>
      <c r="L4" s="1112"/>
      <c r="M4" s="1112"/>
      <c r="N4" s="1112"/>
      <c r="O4" s="1112"/>
      <c r="P4" s="2"/>
      <c r="Q4" s="1112" t="s">
        <v>303</v>
      </c>
      <c r="R4" s="1112"/>
      <c r="S4" s="1112"/>
      <c r="T4" s="1112"/>
      <c r="U4" s="1112"/>
      <c r="V4" s="1112"/>
      <c r="W4" s="1112"/>
      <c r="X4" s="1112"/>
      <c r="Y4" s="1112"/>
      <c r="Z4" s="1112"/>
      <c r="AA4" s="1112" t="s">
        <v>304</v>
      </c>
      <c r="AB4" s="1112"/>
      <c r="AC4" s="1112"/>
      <c r="AD4" s="1112"/>
      <c r="AE4" s="1112"/>
      <c r="AF4" s="1112"/>
      <c r="AG4" s="1112"/>
      <c r="AH4" s="1112" t="s">
        <v>305</v>
      </c>
      <c r="AI4" s="1112"/>
      <c r="AJ4" s="1115" t="s">
        <v>299</v>
      </c>
      <c r="AK4" s="1115"/>
      <c r="AL4" s="1112" t="s">
        <v>718</v>
      </c>
      <c r="AM4" s="1112"/>
      <c r="AN4" s="1112"/>
      <c r="AO4" s="1112"/>
      <c r="AP4" s="1112"/>
      <c r="AQ4" s="1112"/>
      <c r="AR4" s="1112"/>
      <c r="AS4" s="1112"/>
      <c r="AT4" s="1112"/>
      <c r="AU4" s="1112"/>
      <c r="AV4" s="1112"/>
      <c r="AW4" s="1112"/>
      <c r="AX4" s="1112"/>
      <c r="AY4" s="1112"/>
      <c r="AZ4" s="1112" t="s">
        <v>306</v>
      </c>
      <c r="BA4" s="1112"/>
      <c r="BB4" s="1112"/>
      <c r="BC4" s="1112"/>
      <c r="BD4" s="1112"/>
      <c r="BE4" s="215"/>
      <c r="BF4" s="1113" t="s">
        <v>307</v>
      </c>
      <c r="BG4" s="1113"/>
      <c r="BH4" s="1113"/>
      <c r="BI4" s="1113"/>
      <c r="BJ4" s="1113"/>
      <c r="BK4" s="1113"/>
      <c r="BL4" s="1113"/>
      <c r="BM4" s="1113"/>
      <c r="BN4" s="1113"/>
      <c r="BO4" s="1114" t="s">
        <v>308</v>
      </c>
      <c r="BP4" s="1114"/>
      <c r="BQ4" s="1114"/>
      <c r="BR4" s="1114"/>
      <c r="BS4" s="1114"/>
      <c r="BT4" s="1114"/>
    </row>
    <row r="5" spans="1:72" s="99" customFormat="1" ht="63.75" customHeight="1" thickBot="1">
      <c r="A5" s="408" t="s">
        <v>524</v>
      </c>
      <c r="B5" s="409" t="str">
        <f ca="1">Score!$A$1</f>
        <v>Detroit Pistoffs</v>
      </c>
      <c r="C5" s="410" t="s">
        <v>416</v>
      </c>
      <c r="D5" s="411" t="s">
        <v>417</v>
      </c>
      <c r="E5" s="411" t="s">
        <v>418</v>
      </c>
      <c r="F5" s="216" t="s">
        <v>419</v>
      </c>
      <c r="G5" s="217" t="s">
        <v>420</v>
      </c>
      <c r="H5" s="218" t="s">
        <v>301</v>
      </c>
      <c r="I5" s="219" t="s">
        <v>421</v>
      </c>
      <c r="J5" s="412" t="s">
        <v>395</v>
      </c>
      <c r="K5" s="413" t="s">
        <v>396</v>
      </c>
      <c r="L5" s="413" t="s">
        <v>422</v>
      </c>
      <c r="M5" s="413" t="s">
        <v>423</v>
      </c>
      <c r="N5" s="413" t="s">
        <v>424</v>
      </c>
      <c r="O5" s="413" t="s">
        <v>425</v>
      </c>
      <c r="P5" s="414" t="s">
        <v>481</v>
      </c>
      <c r="Q5" s="410" t="s">
        <v>482</v>
      </c>
      <c r="R5" s="413" t="s">
        <v>483</v>
      </c>
      <c r="S5" s="218" t="s">
        <v>484</v>
      </c>
      <c r="T5" s="410" t="s">
        <v>485</v>
      </c>
      <c r="U5" s="415" t="s">
        <v>486</v>
      </c>
      <c r="V5" s="416" t="s">
        <v>487</v>
      </c>
      <c r="W5" s="417" t="s">
        <v>488</v>
      </c>
      <c r="X5" s="418" t="s">
        <v>489</v>
      </c>
      <c r="Y5" s="417" t="s">
        <v>322</v>
      </c>
      <c r="Z5" s="220" t="s">
        <v>323</v>
      </c>
      <c r="AA5" s="419" t="s">
        <v>466</v>
      </c>
      <c r="AB5" s="419" t="s">
        <v>325</v>
      </c>
      <c r="AC5" s="221" t="s">
        <v>432</v>
      </c>
      <c r="AD5" s="420" t="s">
        <v>431</v>
      </c>
      <c r="AE5" s="420" t="s">
        <v>319</v>
      </c>
      <c r="AF5" s="420" t="s">
        <v>320</v>
      </c>
      <c r="AG5" s="222" t="s">
        <v>321</v>
      </c>
      <c r="AH5" s="1105" t="s">
        <v>525</v>
      </c>
      <c r="AI5" s="1106"/>
      <c r="AJ5" s="421" t="s">
        <v>524</v>
      </c>
      <c r="AK5" s="422" t="str">
        <f t="shared" ref="AK5:AK25" si="0">B5</f>
        <v>Detroit Pistoffs</v>
      </c>
      <c r="AL5" s="412" t="s">
        <v>135</v>
      </c>
      <c r="AM5" s="413" t="s">
        <v>136</v>
      </c>
      <c r="AN5" s="413" t="s">
        <v>137</v>
      </c>
      <c r="AO5" s="413" t="s">
        <v>138</v>
      </c>
      <c r="AP5" s="413" t="s">
        <v>139</v>
      </c>
      <c r="AQ5" s="423" t="s">
        <v>140</v>
      </c>
      <c r="AR5" s="412" t="s">
        <v>141</v>
      </c>
      <c r="AS5" s="413" t="s">
        <v>142</v>
      </c>
      <c r="AT5" s="413" t="s">
        <v>143</v>
      </c>
      <c r="AU5" s="413" t="s">
        <v>144</v>
      </c>
      <c r="AV5" s="413" t="s">
        <v>145</v>
      </c>
      <c r="AW5" s="413" t="s">
        <v>146</v>
      </c>
      <c r="AX5" s="223" t="s">
        <v>419</v>
      </c>
      <c r="AY5" s="224" t="s">
        <v>155</v>
      </c>
      <c r="AZ5" s="424" t="s">
        <v>156</v>
      </c>
      <c r="BA5" s="425" t="s">
        <v>157</v>
      </c>
      <c r="BB5" s="426" t="s">
        <v>158</v>
      </c>
      <c r="BC5" s="425" t="s">
        <v>159</v>
      </c>
      <c r="BD5" s="225" t="s">
        <v>160</v>
      </c>
      <c r="BE5" s="226" t="s">
        <v>161</v>
      </c>
      <c r="BF5" s="412" t="s">
        <v>162</v>
      </c>
      <c r="BG5" s="413" t="s">
        <v>163</v>
      </c>
      <c r="BH5" s="413" t="s">
        <v>164</v>
      </c>
      <c r="BI5" s="413" t="s">
        <v>165</v>
      </c>
      <c r="BJ5" s="411" t="s">
        <v>166</v>
      </c>
      <c r="BK5" s="223" t="s">
        <v>419</v>
      </c>
      <c r="BL5" s="227" t="s">
        <v>167</v>
      </c>
      <c r="BM5" s="228" t="s">
        <v>168</v>
      </c>
      <c r="BN5" s="229" t="s">
        <v>169</v>
      </c>
      <c r="BO5" s="518" t="s">
        <v>170</v>
      </c>
      <c r="BP5" s="519" t="s">
        <v>171</v>
      </c>
      <c r="BQ5" s="519" t="s">
        <v>172</v>
      </c>
      <c r="BR5" s="519" t="s">
        <v>173</v>
      </c>
      <c r="BS5" s="519" t="s">
        <v>174</v>
      </c>
      <c r="BT5" s="230" t="s">
        <v>419</v>
      </c>
    </row>
    <row r="6" spans="1:72" s="161" customFormat="1" ht="20" customHeight="1">
      <c r="A6" s="363" t="str">
        <f ca="1">IF(ISBLANK(IBRF!$B11),"",IBRF!$B11)</f>
        <v>138</v>
      </c>
      <c r="B6" s="231" t="str">
        <f ca="1">IF(ISBLANK(IBRF!$C11),"",IBRF!$C11)</f>
        <v>Mag Pie</v>
      </c>
      <c r="C6" s="232">
        <f ca="1">IF(A6="","",SUM(LU!O9,LU!O108))</f>
        <v>0</v>
      </c>
      <c r="D6" s="232">
        <f ca="1">IF(A6="","",SUM(LU!D9,LU!D108))</f>
        <v>0</v>
      </c>
      <c r="E6" s="232">
        <f ca="1">IF(A6="","",SUM(LU!J9,LU!J108))</f>
        <v>11</v>
      </c>
      <c r="F6" s="392">
        <f ca="1">IF(A6="","",(SUM(C6:E6)-(SUMPRODUCT(--(Lineups!C$4:C$79=A6),--(Lineups!A$4:A$79="SP"))+SUMPRODUCT(--(Lineups!F$4:F$79=A6),--(Lineups!A$4:A$79="SP"))+SUMPRODUCT(--(Lineups!C$88:C$163=A6),--(Lineups!A$88:A$163="SP"))+SUMPRODUCT(--(Lineups!F$88:F$163=A6),--(Lineups!A$88:A$163="SP")))))</f>
        <v>11</v>
      </c>
      <c r="G6" s="393">
        <f ca="1">IF(OR(A6="",F6=0,LU!D$3+LU!D$102=0),"",F6/(LU!D$3+LU!D$102))</f>
        <v>0.25</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26</v>
      </c>
      <c r="R6" s="232">
        <f ca="1">IF(OR(A6="",F6=0),"",SUM(LU!Q78,LU!Q177))</f>
        <v>29</v>
      </c>
      <c r="S6" s="402">
        <f ca="1">IF(OR(A6="",F6=0),"",SUM(LU!Q32,LU!Q131))</f>
        <v>-3</v>
      </c>
      <c r="T6" s="232" t="str">
        <f ca="1">IF(OR(A6="",C6=0),"",SUM(LU!O32,LU!O131))</f>
        <v/>
      </c>
      <c r="U6" s="236" t="str">
        <f t="shared" ref="U6:U25" si="3">IF(OR(A6="",C6=0),"",T6/C6)</f>
        <v/>
      </c>
      <c r="V6" s="237" t="str">
        <f ca="1">IF(OR(A6="",D6=0),"",SUM(LU!D32,LU!D131))</f>
        <v/>
      </c>
      <c r="W6" s="236" t="str">
        <f t="shared" ref="W6:W25" si="4">IF(OR(A6="",D6=0),"",V6/D6)</f>
        <v/>
      </c>
      <c r="X6" s="237">
        <f ca="1">IF(OR(A6="",E6=0),"",SUM(LU!J32,LU!J131))</f>
        <v>-3</v>
      </c>
      <c r="Y6" s="236">
        <f t="shared" ref="Y6:Y25" ca="1" si="5">IF(OR(A6="",E6=0),"",X6/E6)</f>
        <v>-0.27272727272727271</v>
      </c>
      <c r="Z6" s="396">
        <f ca="1">IF(OR(A6="",F6=0),"",S6/F6)</f>
        <v>-0.27272727272727271</v>
      </c>
      <c r="AA6" s="238">
        <f ca="1">IF(OR(A6="",F6=0,Q$26="-",LU!$D$5=0),"",Q6-Q$26)</f>
        <v>-24.714285714285715</v>
      </c>
      <c r="AB6" s="239">
        <f ca="1">IF(OR(A6="",F6=0,R$26="-",LU!$D$5=0),"",R6-R$26)</f>
        <v>-8.9285714285714306</v>
      </c>
      <c r="AC6" s="403">
        <f t="shared" ref="AC6:AC25" ca="1" si="6">IF(OR(A6="",F6=0,AA6=""),"",AA6-AB6)</f>
        <v>-15.785714285714285</v>
      </c>
      <c r="AD6" s="445" t="str">
        <f t="shared" ref="AD6:AD25" si="7">IF(OR($A6="",C6=0),"",U6-U$26)</f>
        <v/>
      </c>
      <c r="AE6" s="445" t="str">
        <f t="shared" ref="AE6:AE25" si="8">IF(OR($A6="",D6=0),"",W6-W$26)</f>
        <v/>
      </c>
      <c r="AF6" s="446">
        <f t="shared" ref="AF6:AF25" ca="1" si="9">IF(OR($A6="",E6=0),"",Y6-Y$26)</f>
        <v>-0.80447954822954826</v>
      </c>
      <c r="AG6" s="447">
        <f ca="1">IF(OR($A6="",Z6="",Z$26="-",LU!$D$5=0),"",Z6-Z$26)</f>
        <v>-1.0602199516170103</v>
      </c>
      <c r="AH6" s="1103">
        <f ca="1">IF(OR(A6="",F6=0),"",SUM(PT!V3,PT!V4))</f>
        <v>0</v>
      </c>
      <c r="AI6" s="1104"/>
      <c r="AJ6" s="363" t="str">
        <f t="shared" ref="AJ6:AJ25" si="10">A6</f>
        <v>138</v>
      </c>
      <c r="AK6" s="240" t="str">
        <f t="shared" si="0"/>
        <v>Mag Pie</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1</v>
      </c>
      <c r="AQ6" s="405">
        <f t="shared" ref="AQ6:AQ25" si="11">IF(OR(A6="",F6=0),"",SUM(AL6:AP6))</f>
        <v>1</v>
      </c>
      <c r="AR6" s="235">
        <f ca="1">IF(OR($A6="",$F6=0),"",SUM(Actions!C5,Actions!J5))</f>
        <v>1</v>
      </c>
      <c r="AS6" s="232">
        <f ca="1">IF(OR($A6="",$F6=0),"",SUM(Actions!D5,Actions!K5))</f>
        <v>1</v>
      </c>
      <c r="AT6" s="232">
        <f ca="1">IF(OR($A6="",$F6=0),"",SUM(Actions!E5,Actions!L5))</f>
        <v>0</v>
      </c>
      <c r="AU6" s="232">
        <f ca="1">IF(OR($A6="",$F6=0),"",SUM(Actions!F5,Actions!M5))</f>
        <v>0</v>
      </c>
      <c r="AV6" s="232">
        <f ca="1">IF(OR($A6="",$F6=0),"",SUM(Actions!G5,Actions!N5))</f>
        <v>1</v>
      </c>
      <c r="AW6" s="402">
        <f t="shared" ref="AW6:AW25" si="12">IF(OR($A6="",F6=0),"",SUM(AR6:AV6))</f>
        <v>3</v>
      </c>
      <c r="AX6" s="400">
        <f>IF(OR(A6="",F6=0),"",SUM(AQ6,AW6))</f>
        <v>4</v>
      </c>
      <c r="AY6" s="399">
        <f t="shared" ref="AY6:AY25" si="13">IF(OR(A6="",F6=0),"",SUM(AM6,AU6))</f>
        <v>0</v>
      </c>
      <c r="AZ6" s="404">
        <f t="shared" ref="AZ6:AZ25" si="14">IF(OR(A6="",F6=0),"",AQ6/F6)</f>
        <v>9.0909090909090912E-2</v>
      </c>
      <c r="BA6" s="243">
        <f t="shared" ref="BA6:BA25" si="15">IF(OR(A6="",F6=0,AQ$26=0),"",AQ6/AQ$26)</f>
        <v>3.8461538461538464E-2</v>
      </c>
      <c r="BB6" s="403">
        <f t="shared" ref="BB6:BB25" si="16">IF(OR(A6="",F6=0),"",AW6/F6)</f>
        <v>0.27272727272727271</v>
      </c>
      <c r="BC6" s="244">
        <f t="shared" ref="BC6:BC25" si="17">IF(OR(A6="",F6=0,AW$26=0),"",AW6/AW$26)</f>
        <v>1.9607843137254902E-2</v>
      </c>
      <c r="BD6" s="398">
        <f t="shared" ref="BD6:BD25" si="18">IF(OR(A6="",F6=0),"",AX6/F6)</f>
        <v>0.36363636363636365</v>
      </c>
      <c r="BE6" s="393">
        <f t="shared" ref="BE6:BE25" si="19">IF(OR(A6="",F6=0,AX$26=0),"",AX6/AX$26)</f>
        <v>2.23463687150838E-2</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f t="shared" ref="BN6:BN25" si="23">IF(OR(A6="",F6=0,SUM(AR6:AS6,BF6,BJ6)=0),"",SUM(AR6,AS6)/(SUM(AR6,AS6,BF6,BJ6)))</f>
        <v>1</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181</v>
      </c>
      <c r="B7" s="247" t="str">
        <f ca="1">IF(ISBLANK(IBRF!$C12),"",IBRF!$C12)</f>
        <v>Vega Vendetta</v>
      </c>
      <c r="C7" s="248">
        <f ca="1">IF(A7="","",SUM(LU!O10,LU!O109))</f>
        <v>0</v>
      </c>
      <c r="D7" s="248">
        <f ca="1">IF(A7="","",SUM(LU!D10,LU!D109))</f>
        <v>0</v>
      </c>
      <c r="E7" s="249">
        <f ca="1">IF(A7="","",SUM(LU!J10,LU!J109))</f>
        <v>15</v>
      </c>
      <c r="F7" s="379">
        <f ca="1">IF(A7="","",(SUM(C7:E7)-(SUMPRODUCT(--(Lineups!C$4:C$79=A7),--(Lineups!A$4:A$79="SP"))+SUMPRODUCT(--(Lineups!F$4:F$79=A7),--(Lineups!A$4:A$79="SP"))+SUMPRODUCT(--(Lineups!C$88:C$163=A7),--(Lineups!A$88:A$163="SP"))+SUMPRODUCT(--(Lineups!F$88:F$163=A7),--(Lineups!A$88:A$163="SP")))))</f>
        <v>15</v>
      </c>
      <c r="G7" s="380">
        <f ca="1">IF(OR(A7="",F7=0,LU!D$3+LU!D$102=0),"",F7/(LU!D$3+LU!D$102))</f>
        <v>0.34090909090909088</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76</v>
      </c>
      <c r="R7" s="248">
        <f ca="1">IF(OR(A7="",F7=0),"",SUM(LU!Q79,LU!Q178))</f>
        <v>15</v>
      </c>
      <c r="S7" s="365">
        <f ca="1">IF(OR(A7="",F7=0),"",SUM(LU!Q33,LU!Q132))</f>
        <v>61</v>
      </c>
      <c r="T7" s="248" t="str">
        <f ca="1">IF(OR(A7="",C7=0),"",SUM(LU!O33,LU!O132))</f>
        <v/>
      </c>
      <c r="U7" s="253" t="str">
        <f t="shared" si="3"/>
        <v/>
      </c>
      <c r="V7" s="254" t="str">
        <f ca="1">IF(OR(A7="",D7=0),"",SUM(LU!D33,LU!D132))</f>
        <v/>
      </c>
      <c r="W7" s="253" t="str">
        <f t="shared" si="4"/>
        <v/>
      </c>
      <c r="X7" s="254">
        <f ca="1">IF(OR(A7="",E7=0),"",SUM(LU!J33,LU!J132))</f>
        <v>61</v>
      </c>
      <c r="Y7" s="253">
        <f t="shared" ca="1" si="5"/>
        <v>4.0666666666666664</v>
      </c>
      <c r="Z7" s="385">
        <f t="shared" ref="Z7:Z25" ca="1" si="25">IF(OR(A7="",F7="",F7=0),"",S7/F7)</f>
        <v>4.0666666666666664</v>
      </c>
      <c r="AA7" s="255">
        <f ca="1">IF(OR(A7="",F7=0,Q$26="-",LU!$D$5=0),"",Q7-Q$26)</f>
        <v>25.285714285714285</v>
      </c>
      <c r="AB7" s="256">
        <f ca="1">IF(OR(A7="",F7=0,R$26="-",LU!$D$5=0),"",R7-R$26)</f>
        <v>-22.928571428571431</v>
      </c>
      <c r="AC7" s="368">
        <f t="shared" ca="1" si="6"/>
        <v>48.214285714285715</v>
      </c>
      <c r="AD7" s="389" t="str">
        <f t="shared" si="7"/>
        <v/>
      </c>
      <c r="AE7" s="389" t="str">
        <f t="shared" si="8"/>
        <v/>
      </c>
      <c r="AF7" s="390">
        <f t="shared" ca="1" si="9"/>
        <v>3.5349143911643908</v>
      </c>
      <c r="AG7" s="391">
        <f ca="1">IF(OR($A7="",Z7="",Z$26="-",LU!$D$5=0),"",Z7-Z$26)</f>
        <v>3.2791739877769288</v>
      </c>
      <c r="AH7" s="1099">
        <f ca="1">IF(OR(A7="",F7=0),"",SUM(PT!V5,PT!V6))</f>
        <v>1</v>
      </c>
      <c r="AI7" s="1100"/>
      <c r="AJ7" s="364" t="str">
        <f t="shared" si="10"/>
        <v>181</v>
      </c>
      <c r="AK7" s="257" t="str">
        <f t="shared" si="0"/>
        <v>Vega Vendetta</v>
      </c>
      <c r="AL7" s="258">
        <f ca="1">IF(OR($A7="",$F7=0),"",SUM(Actions!C76,Actions!J76))</f>
        <v>2</v>
      </c>
      <c r="AM7" s="259">
        <f ca="1">IF(OR($A7="",$F7=0),"",SUM(Actions!D76,Actions!K76))</f>
        <v>0</v>
      </c>
      <c r="AN7" s="259">
        <f ca="1">IF(OR($A7="",$F7=0),"",SUM(Actions!E76,Actions!L76))</f>
        <v>1</v>
      </c>
      <c r="AO7" s="259">
        <f ca="1">IF(OR($A7="",$F7=0),"",SUM(Actions!F76,Actions!M76))</f>
        <v>0</v>
      </c>
      <c r="AP7" s="259">
        <f ca="1">IF(OR($A7="",$F7=0),"",SUM(Actions!G76,Actions!N76))</f>
        <v>0</v>
      </c>
      <c r="AQ7" s="369">
        <f t="shared" si="11"/>
        <v>3</v>
      </c>
      <c r="AR7" s="252">
        <f ca="1">IF(OR($A7="",$F7=0),"",SUM(Actions!C6,Actions!J6))</f>
        <v>0</v>
      </c>
      <c r="AS7" s="248">
        <f ca="1">IF(OR($A7="",$F7=0),"",SUM(Actions!D6,Actions!K6))</f>
        <v>0</v>
      </c>
      <c r="AT7" s="248">
        <f ca="1">IF(OR($A7="",$F7=0),"",SUM(Actions!E6,Actions!L6))</f>
        <v>3</v>
      </c>
      <c r="AU7" s="248">
        <f ca="1">IF(OR($A7="",$F7=0),"",SUM(Actions!F6,Actions!M6))</f>
        <v>0</v>
      </c>
      <c r="AV7" s="248">
        <f ca="1">IF(OR($A7="",$F7=0),"",SUM(Actions!G6,Actions!N6))</f>
        <v>1</v>
      </c>
      <c r="AW7" s="365">
        <f t="shared" si="12"/>
        <v>4</v>
      </c>
      <c r="AX7" s="373">
        <f t="shared" ref="AX7:AX25" si="26">IF(OR(F7=0,A7=""),"",SUM(AQ7,AW7))</f>
        <v>7</v>
      </c>
      <c r="AY7" s="374">
        <f t="shared" si="13"/>
        <v>0</v>
      </c>
      <c r="AZ7" s="370">
        <f t="shared" si="14"/>
        <v>0.2</v>
      </c>
      <c r="BA7" s="260">
        <f t="shared" si="15"/>
        <v>0.11538461538461539</v>
      </c>
      <c r="BB7" s="368">
        <f t="shared" si="16"/>
        <v>0.26666666666666666</v>
      </c>
      <c r="BC7" s="261">
        <f t="shared" si="17"/>
        <v>2.6143790849673203E-2</v>
      </c>
      <c r="BD7" s="375">
        <f t="shared" si="18"/>
        <v>0.46666666666666667</v>
      </c>
      <c r="BE7" s="376">
        <f t="shared" si="19"/>
        <v>3.9106145251396648E-2</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f t="shared" si="21"/>
        <v>1</v>
      </c>
      <c r="BM7" s="377">
        <f t="shared" si="22"/>
        <v>1</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1821</v>
      </c>
      <c r="B8" s="247" t="str">
        <f ca="1">IF(ISBLANK(IBRF!$C13),"",IBRF!$C13)</f>
        <v>Mexi-Go</v>
      </c>
      <c r="C8" s="248">
        <f ca="1">IF(A8="","",SUM(LU!O11,LU!O110))</f>
        <v>0</v>
      </c>
      <c r="D8" s="248">
        <f ca="1">IF(A8="","",SUM(LU!D11,LU!D110))</f>
        <v>0</v>
      </c>
      <c r="E8" s="249">
        <f ca="1">IF(A8="","",SUM(LU!J11,LU!J110))</f>
        <v>18</v>
      </c>
      <c r="F8" s="379">
        <f ca="1">IF(A8="","",(SUM(C8:E8)-(SUMPRODUCT(--(Lineups!C$4:C$79=A8),--(Lineups!A$4:A$79="SP"))+SUMPRODUCT(--(Lineups!F$4:F$79=A8),--(Lineups!A$4:A$79="SP"))+SUMPRODUCT(--(Lineups!C$88:C$163=A8),--(Lineups!A$88:A$163="SP"))+SUMPRODUCT(--(Lineups!F$88:F$163=A8),--(Lineups!A$88:A$163="SP")))))</f>
        <v>18</v>
      </c>
      <c r="G8" s="380">
        <f ca="1">IF(OR(A8="",F8=0,LU!D$3+LU!D$102=0),"",F8/(LU!D$3+LU!D$102))</f>
        <v>0.40909090909090912</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52</v>
      </c>
      <c r="R8" s="248">
        <f ca="1">IF(OR(A8="",F8=0),"",SUM(LU!Q80,LU!Q179))</f>
        <v>36</v>
      </c>
      <c r="S8" s="365">
        <f ca="1">IF(OR(A8="",F8=0),"",SUM(LU!Q34,LU!Q133))</f>
        <v>16</v>
      </c>
      <c r="T8" s="248" t="str">
        <f ca="1">IF(OR(A8="",C8=0),"",SUM(LU!O34,LU!O133))</f>
        <v/>
      </c>
      <c r="U8" s="253" t="str">
        <f t="shared" si="3"/>
        <v/>
      </c>
      <c r="V8" s="254" t="str">
        <f ca="1">IF(OR(A8="",D8=0),"",SUM(LU!D34,LU!D133))</f>
        <v/>
      </c>
      <c r="W8" s="253" t="str">
        <f t="shared" si="4"/>
        <v/>
      </c>
      <c r="X8" s="254">
        <f ca="1">IF(OR(A8="",E8=0),"",SUM(LU!J34,LU!J133))</f>
        <v>16</v>
      </c>
      <c r="Y8" s="253">
        <f t="shared" ca="1" si="5"/>
        <v>0.88888888888888884</v>
      </c>
      <c r="Z8" s="385">
        <f t="shared" ca="1" si="25"/>
        <v>0.88888888888888884</v>
      </c>
      <c r="AA8" s="255">
        <f ca="1">IF(OR(A8="",F8=0,Q$26="-",LU!$D$5=0),"",Q8-Q$26)</f>
        <v>1.2857142857142847</v>
      </c>
      <c r="AB8" s="256">
        <f ca="1">IF(OR(A8="",F8=0,R$26="-",LU!$D$5=0),"",R8-R$26)</f>
        <v>-1.9285714285714306</v>
      </c>
      <c r="AC8" s="368">
        <f t="shared" ca="1" si="6"/>
        <v>3.2142857142857153</v>
      </c>
      <c r="AD8" s="389" t="str">
        <f t="shared" si="7"/>
        <v/>
      </c>
      <c r="AE8" s="389" t="str">
        <f t="shared" si="8"/>
        <v/>
      </c>
      <c r="AF8" s="390">
        <f t="shared" ca="1" si="9"/>
        <v>0.35713661338661329</v>
      </c>
      <c r="AG8" s="391">
        <f ca="1">IF(OR($A8="",Z8="",Z$26="-",LU!$D$5=0),"",Z8-Z$26)</f>
        <v>0.10139620999915122</v>
      </c>
      <c r="AH8" s="1099">
        <f ca="1">IF(OR(A8="",F8=0),"",SUM(PT!V7,PT!V8))</f>
        <v>0</v>
      </c>
      <c r="AI8" s="1100"/>
      <c r="AJ8" s="364" t="str">
        <f t="shared" si="10"/>
        <v>1821</v>
      </c>
      <c r="AK8" s="257" t="str">
        <f t="shared" si="0"/>
        <v>Mexi-Go</v>
      </c>
      <c r="AL8" s="258">
        <f ca="1">IF(OR($A8="",$F8=0),"",SUM(Actions!C77,Actions!J77))</f>
        <v>3</v>
      </c>
      <c r="AM8" s="259">
        <f ca="1">IF(OR($A8="",$F8=0),"",SUM(Actions!D77,Actions!K77))</f>
        <v>0</v>
      </c>
      <c r="AN8" s="259">
        <f ca="1">IF(OR($A8="",$F8=0),"",SUM(Actions!E77,Actions!L77))</f>
        <v>0</v>
      </c>
      <c r="AO8" s="259">
        <f ca="1">IF(OR($A8="",$F8=0),"",SUM(Actions!F77,Actions!M77))</f>
        <v>0</v>
      </c>
      <c r="AP8" s="259">
        <f ca="1">IF(OR($A8="",$F8=0),"",SUM(Actions!G77,Actions!N77))</f>
        <v>0</v>
      </c>
      <c r="AQ8" s="369">
        <f t="shared" si="11"/>
        <v>3</v>
      </c>
      <c r="AR8" s="252">
        <f ca="1">IF(OR($A8="",$F8=0),"",SUM(Actions!C7,Actions!J7))</f>
        <v>3</v>
      </c>
      <c r="AS8" s="248">
        <f ca="1">IF(OR($A8="",$F8=0),"",SUM(Actions!D7,Actions!K7))</f>
        <v>3</v>
      </c>
      <c r="AT8" s="248">
        <f ca="1">IF(OR($A8="",$F8=0),"",SUM(Actions!E7,Actions!L7))</f>
        <v>8</v>
      </c>
      <c r="AU8" s="248">
        <f ca="1">IF(OR($A8="",$F8=0),"",SUM(Actions!F7,Actions!M7))</f>
        <v>3</v>
      </c>
      <c r="AV8" s="248">
        <f ca="1">IF(OR($A8="",$F8=0),"",SUM(Actions!G7,Actions!N7))</f>
        <v>0</v>
      </c>
      <c r="AW8" s="365">
        <f t="shared" si="12"/>
        <v>17</v>
      </c>
      <c r="AX8" s="373">
        <f t="shared" si="26"/>
        <v>20</v>
      </c>
      <c r="AY8" s="374">
        <f t="shared" si="13"/>
        <v>3</v>
      </c>
      <c r="AZ8" s="370">
        <f t="shared" si="14"/>
        <v>0.16666666666666666</v>
      </c>
      <c r="BA8" s="260">
        <f t="shared" si="15"/>
        <v>0.11538461538461539</v>
      </c>
      <c r="BB8" s="368">
        <f t="shared" si="16"/>
        <v>0.94444444444444442</v>
      </c>
      <c r="BC8" s="261">
        <f t="shared" si="17"/>
        <v>0.1111111111111111</v>
      </c>
      <c r="BD8" s="375">
        <f t="shared" si="18"/>
        <v>1.1111111111111112</v>
      </c>
      <c r="BE8" s="376">
        <f t="shared" si="19"/>
        <v>0.11173184357541899</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f t="shared" si="21"/>
        <v>1</v>
      </c>
      <c r="BM8" s="377">
        <f t="shared" si="22"/>
        <v>1</v>
      </c>
      <c r="BN8" s="378">
        <f t="shared" si="23"/>
        <v>1</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187</v>
      </c>
      <c r="B9" s="247" t="str">
        <f ca="1">IF(ISBLANK(IBRF!$C14),"",IBRF!$C14)</f>
        <v>VeroniKILL</v>
      </c>
      <c r="C9" s="248">
        <f ca="1">IF(A9="","",SUM(LU!O12,LU!O111))</f>
        <v>0</v>
      </c>
      <c r="D9" s="248">
        <f ca="1">IF(A9="","",SUM(LU!D12,LU!D111))</f>
        <v>0</v>
      </c>
      <c r="E9" s="249">
        <f ca="1">IF(A9="","",SUM(LU!J12,LU!J111))</f>
        <v>15</v>
      </c>
      <c r="F9" s="379">
        <f ca="1">IF(A9="","",(SUM(C9:E9)-(SUMPRODUCT(--(Lineups!C$4:C$79=A9),--(Lineups!A$4:A$79="SP"))+SUMPRODUCT(--(Lineups!F$4:F$79=A9),--(Lineups!A$4:A$79="SP"))+SUMPRODUCT(--(Lineups!C$88:C$163=A9),--(Lineups!A$88:A$163="SP"))+SUMPRODUCT(--(Lineups!F$88:F$163=A9),--(Lineups!A$88:A$163="SP")))))</f>
        <v>15</v>
      </c>
      <c r="G9" s="380">
        <f ca="1">IF(OR(A9="",F9=0,LU!D$3+LU!D$102=0),"",F9/(LU!D$3+LU!D$102))</f>
        <v>0.34090909090909088</v>
      </c>
      <c r="H9" s="365" t="str">
        <f ca="1">IF(OR(C9=0,A9=""),"",SK!D183)</f>
        <v/>
      </c>
      <c r="I9" s="383" t="str">
        <f ca="1">IF(OR(A9="",SK!E183="",SK!E183=0),"",H9/SK!E183)</f>
        <v/>
      </c>
      <c r="J9" s="250" t="str">
        <f ca="1">IF(OR(A9="",C9=0),"",SK!G183)</f>
        <v/>
      </c>
      <c r="K9" s="366" t="str">
        <f ca="1">IF(OR(A9="",C9=0),"",SK!H183)</f>
        <v/>
      </c>
      <c r="L9" s="251" t="str">
        <f ca="1">IF(OR(A9="",C9=0),"",SK!J183)</f>
        <v/>
      </c>
      <c r="M9" s="251" t="str">
        <f ca="1">IF(OR(A9="",C9=0),"",SK!L183)</f>
        <v/>
      </c>
      <c r="N9" s="367" t="str">
        <f t="shared" si="1"/>
        <v/>
      </c>
      <c r="O9" s="384" t="str">
        <f ca="1">IF(OR(A9="",C9=0),"",SK!I183)</f>
        <v/>
      </c>
      <c r="P9" s="385" t="str">
        <f t="shared" si="2"/>
        <v/>
      </c>
      <c r="Q9" s="252">
        <f ca="1">IF(OR(A9="",F9=0),"",SUM(LU!Q58,LU!Q157))</f>
        <v>25</v>
      </c>
      <c r="R9" s="248">
        <f ca="1">IF(OR(A9="",F9=0),"",SUM(LU!Q81,LU!Q180))</f>
        <v>72</v>
      </c>
      <c r="S9" s="365">
        <f ca="1">IF(OR(A9="",F9=0),"",SUM(LU!Q35,LU!Q134))</f>
        <v>-47</v>
      </c>
      <c r="T9" s="248" t="str">
        <f ca="1">IF(OR(A9="",C9=0),"",SUM(LU!O35,LU!O134))</f>
        <v/>
      </c>
      <c r="U9" s="253" t="str">
        <f t="shared" si="3"/>
        <v/>
      </c>
      <c r="V9" s="254" t="str">
        <f ca="1">IF(OR(A9="",D9=0),"",SUM(LU!D35,LU!D134))</f>
        <v/>
      </c>
      <c r="W9" s="253" t="str">
        <f t="shared" si="4"/>
        <v/>
      </c>
      <c r="X9" s="254">
        <f ca="1">IF(OR(A9="",E9=0),"",SUM(LU!J35,LU!J134))</f>
        <v>-47</v>
      </c>
      <c r="Y9" s="253">
        <f t="shared" ca="1" si="5"/>
        <v>-3.1333333333333333</v>
      </c>
      <c r="Z9" s="385">
        <f t="shared" ca="1" si="25"/>
        <v>-3.1333333333333333</v>
      </c>
      <c r="AA9" s="255">
        <f ca="1">IF(OR(A9="",F9=0,Q$26="-",LU!$D$5=0),"",Q9-Q$26)</f>
        <v>-25.714285714285715</v>
      </c>
      <c r="AB9" s="256">
        <f ca="1">IF(OR(A9="",F9=0,R$26="-",LU!$D$5=0),"",R9-R$26)</f>
        <v>34.071428571428569</v>
      </c>
      <c r="AC9" s="368">
        <f t="shared" ca="1" si="6"/>
        <v>-59.785714285714285</v>
      </c>
      <c r="AD9" s="389" t="str">
        <f t="shared" si="7"/>
        <v/>
      </c>
      <c r="AE9" s="389" t="str">
        <f t="shared" si="8"/>
        <v/>
      </c>
      <c r="AF9" s="390">
        <f t="shared" ca="1" si="9"/>
        <v>-3.665085608835609</v>
      </c>
      <c r="AG9" s="391">
        <f ca="1">IF(OR($A9="",Z9="",Z$26="-",LU!$D$5=0),"",Z9-Z$26)</f>
        <v>-3.9208260122230709</v>
      </c>
      <c r="AH9" s="1099">
        <f ca="1">IF(OR(A9="",F9=0),"",SUM(PT!V9,PT!V10))</f>
        <v>0</v>
      </c>
      <c r="AI9" s="1100"/>
      <c r="AJ9" s="364" t="str">
        <f t="shared" si="10"/>
        <v>187</v>
      </c>
      <c r="AK9" s="257" t="str">
        <f t="shared" si="0"/>
        <v>VeroniKILL</v>
      </c>
      <c r="AL9" s="258">
        <f ca="1">IF(OR($A9="",$F9=0),"",SUM(Actions!C78,Actions!J78))</f>
        <v>1</v>
      </c>
      <c r="AM9" s="259">
        <f ca="1">IF(OR($A9="",$F9=0),"",SUM(Actions!D78,Actions!K78))</f>
        <v>0</v>
      </c>
      <c r="AN9" s="259">
        <f ca="1">IF(OR($A9="",$F9=0),"",SUM(Actions!E78,Actions!L78))</f>
        <v>0</v>
      </c>
      <c r="AO9" s="259">
        <f ca="1">IF(OR($A9="",$F9=0),"",SUM(Actions!F78,Actions!M78))</f>
        <v>0</v>
      </c>
      <c r="AP9" s="259">
        <f ca="1">IF(OR($A9="",$F9=0),"",SUM(Actions!G78,Actions!N78))</f>
        <v>0</v>
      </c>
      <c r="AQ9" s="369">
        <f t="shared" si="11"/>
        <v>1</v>
      </c>
      <c r="AR9" s="252">
        <f ca="1">IF(OR($A9="",$F9=0),"",SUM(Actions!C8,Actions!J8))</f>
        <v>4</v>
      </c>
      <c r="AS9" s="248">
        <f ca="1">IF(OR($A9="",$F9=0),"",SUM(Actions!D8,Actions!K8))</f>
        <v>2</v>
      </c>
      <c r="AT9" s="248">
        <f ca="1">IF(OR($A9="",$F9=0),"",SUM(Actions!E8,Actions!L8))</f>
        <v>2</v>
      </c>
      <c r="AU9" s="248">
        <f ca="1">IF(OR($A9="",$F9=0),"",SUM(Actions!F8,Actions!M8))</f>
        <v>1</v>
      </c>
      <c r="AV9" s="248">
        <f ca="1">IF(OR($A9="",$F9=0),"",SUM(Actions!G8,Actions!N8))</f>
        <v>2</v>
      </c>
      <c r="AW9" s="365">
        <f t="shared" si="12"/>
        <v>11</v>
      </c>
      <c r="AX9" s="373">
        <f t="shared" si="26"/>
        <v>12</v>
      </c>
      <c r="AY9" s="374">
        <f t="shared" si="13"/>
        <v>1</v>
      </c>
      <c r="AZ9" s="370">
        <f t="shared" si="14"/>
        <v>6.6666666666666666E-2</v>
      </c>
      <c r="BA9" s="260">
        <f t="shared" si="15"/>
        <v>3.8461538461538464E-2</v>
      </c>
      <c r="BB9" s="368">
        <f t="shared" si="16"/>
        <v>0.73333333333333328</v>
      </c>
      <c r="BC9" s="261">
        <f t="shared" si="17"/>
        <v>7.1895424836601302E-2</v>
      </c>
      <c r="BD9" s="375">
        <f t="shared" si="18"/>
        <v>0.8</v>
      </c>
      <c r="BE9" s="376">
        <f t="shared" si="19"/>
        <v>6.7039106145251395E-2</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f t="shared" si="21"/>
        <v>1</v>
      </c>
      <c r="BM9" s="377">
        <f t="shared" si="22"/>
        <v>1</v>
      </c>
      <c r="BN9" s="378">
        <f t="shared" si="23"/>
        <v>1</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t="str">
        <f t="shared" si="24"/>
        <v/>
      </c>
    </row>
    <row r="10" spans="1:72" s="161" customFormat="1" ht="20" customHeight="1">
      <c r="A10" s="364" t="str">
        <f ca="1">IF(ISBLANK(IBRF!$B15),"",IBRF!$B15)</f>
        <v>1879</v>
      </c>
      <c r="B10" s="247" t="str">
        <f ca="1">IF(ISBLANK(IBRF!$C15),"",IBRF!$C15)</f>
        <v>Belle Isle Hurtya</v>
      </c>
      <c r="C10" s="248">
        <f ca="1">IF(A10="","",SUM(LU!O13,LU!O112))</f>
        <v>0</v>
      </c>
      <c r="D10" s="248">
        <f ca="1">IF(A10="","",SUM(LU!D13,LU!D112))</f>
        <v>0</v>
      </c>
      <c r="E10" s="249">
        <f ca="1">IF(A10="","",SUM(LU!J13,LU!J112))</f>
        <v>9</v>
      </c>
      <c r="F10" s="379">
        <f ca="1">IF(A10="","",(SUM(C10:E10)-(SUMPRODUCT(--(Lineups!C$4:C$79=A10),--(Lineups!A$4:A$79="SP"))+SUMPRODUCT(--(Lineups!F$4:F$79=A10),--(Lineups!A$4:A$79="SP"))+SUMPRODUCT(--(Lineups!C$88:C$163=A10),--(Lineups!A$88:A$163="SP"))+SUMPRODUCT(--(Lineups!F$88:F$163=A10),--(Lineups!A$88:A$163="SP")))))</f>
        <v>9</v>
      </c>
      <c r="G10" s="380">
        <f ca="1">IF(OR(A10="",F10=0,LU!D$3+LU!D$102=0),"",F10/(LU!D$3+LU!D$102))</f>
        <v>0.20454545454545456</v>
      </c>
      <c r="H10" s="365" t="str">
        <f ca="1">IF(OR(C10=0,A10=""),"",SK!D186)</f>
        <v/>
      </c>
      <c r="I10" s="383" t="str">
        <f ca="1">IF(OR(A10="",SK!E186="",SK!E186=0),"",H10/SK!E186)</f>
        <v/>
      </c>
      <c r="J10" s="250" t="str">
        <f ca="1">IF(OR(A10="",C10=0),"",SK!G186)</f>
        <v/>
      </c>
      <c r="K10" s="366" t="str">
        <f ca="1">IF(OR(A10="",C10=0),"",SK!H186)</f>
        <v/>
      </c>
      <c r="L10" s="251" t="str">
        <f ca="1">IF(OR(A10="",C10=0),"",SK!J186)</f>
        <v/>
      </c>
      <c r="M10" s="251" t="str">
        <f ca="1">IF(OR(A10="",C10=0),"",SK!L186)</f>
        <v/>
      </c>
      <c r="N10" s="367" t="str">
        <f t="shared" si="1"/>
        <v/>
      </c>
      <c r="O10" s="384" t="str">
        <f ca="1">IF(OR(A10="",C10=0),"",SK!I186)</f>
        <v/>
      </c>
      <c r="P10" s="385" t="str">
        <f t="shared" si="2"/>
        <v/>
      </c>
      <c r="Q10" s="252">
        <f ca="1">IF(OR(A10="",F10=0),"",SUM(LU!Q59,LU!Q158))</f>
        <v>14</v>
      </c>
      <c r="R10" s="248">
        <f ca="1">IF(OR(A10="",F10=0),"",SUM(LU!Q82,LU!Q181))</f>
        <v>7</v>
      </c>
      <c r="S10" s="365">
        <f ca="1">IF(OR(A10="",F10=0),"",SUM(LU!Q36,LU!Q135))</f>
        <v>7</v>
      </c>
      <c r="T10" s="248" t="str">
        <f ca="1">IF(OR(A10="",C10=0),"",SUM(LU!O36,LU!O135))</f>
        <v/>
      </c>
      <c r="U10" s="253" t="str">
        <f t="shared" si="3"/>
        <v/>
      </c>
      <c r="V10" s="254" t="str">
        <f ca="1">IF(OR(A10="",D10=0),"",SUM(LU!D36,LU!D135))</f>
        <v/>
      </c>
      <c r="W10" s="253" t="str">
        <f t="shared" si="4"/>
        <v/>
      </c>
      <c r="X10" s="254">
        <f ca="1">IF(OR(A10="",E10=0),"",SUM(LU!J36,LU!J135))</f>
        <v>7</v>
      </c>
      <c r="Y10" s="253">
        <f t="shared" ca="1" si="5"/>
        <v>0.77777777777777779</v>
      </c>
      <c r="Z10" s="385">
        <f t="shared" ca="1" si="25"/>
        <v>0.77777777777777779</v>
      </c>
      <c r="AA10" s="255">
        <f ca="1">IF(OR(A10="",F10=0,Q$26="-",LU!$D$5=0),"",Q10-Q$26)</f>
        <v>-36.714285714285715</v>
      </c>
      <c r="AB10" s="256">
        <f ca="1">IF(OR(A10="",F10=0,R$26="-",LU!$D$5=0),"",R10-R$26)</f>
        <v>-30.928571428571431</v>
      </c>
      <c r="AC10" s="368">
        <f t="shared" ca="1" si="6"/>
        <v>-5.7857142857142847</v>
      </c>
      <c r="AD10" s="389" t="str">
        <f t="shared" si="7"/>
        <v/>
      </c>
      <c r="AE10" s="389" t="str">
        <f t="shared" si="8"/>
        <v/>
      </c>
      <c r="AF10" s="390">
        <f t="shared" ca="1" si="9"/>
        <v>0.24602550227550224</v>
      </c>
      <c r="AG10" s="391">
        <f ca="1">IF(OR($A10="",Z10="",Z$26="-",LU!$D$5=0),"",Z10-Z$26)</f>
        <v>-9.7149011119598283E-3</v>
      </c>
      <c r="AH10" s="1099">
        <f ca="1">IF(OR(A10="",F10=0),"",SUM(PT!V11,PT!V12))</f>
        <v>1</v>
      </c>
      <c r="AI10" s="1100"/>
      <c r="AJ10" s="364" t="str">
        <f t="shared" si="10"/>
        <v>1879</v>
      </c>
      <c r="AK10" s="257" t="str">
        <f t="shared" si="0"/>
        <v>Belle Isle Hurtya</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1</v>
      </c>
      <c r="AS10" s="248">
        <f ca="1">IF(OR($A10="",$F10=0),"",SUM(Actions!D9,Actions!K9))</f>
        <v>0</v>
      </c>
      <c r="AT10" s="248">
        <f ca="1">IF(OR($A10="",$F10=0),"",SUM(Actions!E9,Actions!L9))</f>
        <v>1</v>
      </c>
      <c r="AU10" s="248">
        <f ca="1">IF(OR($A10="",$F10=0),"",SUM(Actions!F9,Actions!M9))</f>
        <v>0</v>
      </c>
      <c r="AV10" s="248">
        <f ca="1">IF(OR($A10="",$F10=0),"",SUM(Actions!G9,Actions!N9))</f>
        <v>0</v>
      </c>
      <c r="AW10" s="365">
        <f t="shared" si="12"/>
        <v>2</v>
      </c>
      <c r="AX10" s="373">
        <f t="shared" si="26"/>
        <v>2</v>
      </c>
      <c r="AY10" s="374">
        <f t="shared" si="13"/>
        <v>0</v>
      </c>
      <c r="AZ10" s="370">
        <f t="shared" si="14"/>
        <v>0</v>
      </c>
      <c r="BA10" s="260">
        <f t="shared" si="15"/>
        <v>0</v>
      </c>
      <c r="BB10" s="368">
        <f t="shared" si="16"/>
        <v>0.22222222222222221</v>
      </c>
      <c r="BC10" s="261">
        <f t="shared" si="17"/>
        <v>1.3071895424836602E-2</v>
      </c>
      <c r="BD10" s="375">
        <f t="shared" si="18"/>
        <v>0.22222222222222221</v>
      </c>
      <c r="BE10" s="376">
        <f t="shared" si="19"/>
        <v>1.11731843575419E-2</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f t="shared" si="21"/>
        <v>1</v>
      </c>
      <c r="BM10" s="377">
        <f t="shared" si="22"/>
        <v>1</v>
      </c>
      <c r="BN10" s="378">
        <f t="shared" si="23"/>
        <v>1</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t="str">
        <f t="shared" si="24"/>
        <v/>
      </c>
    </row>
    <row r="11" spans="1:72" s="161" customFormat="1" ht="20" customHeight="1">
      <c r="A11" s="364" t="str">
        <f ca="1">IF(ISBLANK(IBRF!$B16),"",IBRF!$B16)</f>
        <v>20</v>
      </c>
      <c r="B11" s="247" t="str">
        <f ca="1">IF(ISBLANK(IBRF!$C16),"",IBRF!$C16)</f>
        <v>Devil Kitty</v>
      </c>
      <c r="C11" s="248">
        <f ca="1">IF(A11="","",SUM(LU!O14,LU!O113))</f>
        <v>0</v>
      </c>
      <c r="D11" s="248">
        <f ca="1">IF(A11="","",SUM(LU!D14,LU!D113))</f>
        <v>14</v>
      </c>
      <c r="E11" s="249">
        <f ca="1">IF(A11="","",SUM(LU!J14,LU!J113))</f>
        <v>2</v>
      </c>
      <c r="F11" s="379">
        <f ca="1">IF(A11="","",(SUM(C11:E11)-(SUMPRODUCT(--(Lineups!C$4:C$79=A11),--(Lineups!A$4:A$79="SP"))+SUMPRODUCT(--(Lineups!F$4:F$79=A11),--(Lineups!A$4:A$79="SP"))+SUMPRODUCT(--(Lineups!C$88:C$163=A11),--(Lineups!A$88:A$163="SP"))+SUMPRODUCT(--(Lineups!F$88:F$163=A11),--(Lineups!A$88:A$163="SP")))))</f>
        <v>16</v>
      </c>
      <c r="G11" s="380">
        <f ca="1">IF(OR(A11="",F11=0,LU!D$3+LU!D$102=0),"",F11/(LU!D$3+LU!D$102))</f>
        <v>0.36363636363636365</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f ca="1">IF(OR(A11="",F11=0),"",SUM(LU!Q60,LU!Q159))</f>
        <v>30</v>
      </c>
      <c r="R11" s="248">
        <f ca="1">IF(OR(A11="",F11=0),"",SUM(LU!Q83,LU!Q182))</f>
        <v>61</v>
      </c>
      <c r="S11" s="365">
        <f ca="1">IF(OR(A11="",F11=0),"",SUM(LU!Q37,LU!Q136))</f>
        <v>-31</v>
      </c>
      <c r="T11" s="248" t="str">
        <f ca="1">IF(OR(A11="",C11=0),"",SUM(LU!O37,LU!O136))</f>
        <v/>
      </c>
      <c r="U11" s="253" t="str">
        <f t="shared" si="3"/>
        <v/>
      </c>
      <c r="V11" s="254">
        <f ca="1">IF(OR(A11="",D11=0),"",SUM(LU!D37,LU!D136))</f>
        <v>-24</v>
      </c>
      <c r="W11" s="253">
        <f t="shared" ca="1" si="4"/>
        <v>-1.7142857142857142</v>
      </c>
      <c r="X11" s="254">
        <f ca="1">IF(OR(A11="",E11=0),"",SUM(LU!J37,LU!J136))</f>
        <v>-7</v>
      </c>
      <c r="Y11" s="253">
        <f t="shared" ca="1" si="5"/>
        <v>-3.5</v>
      </c>
      <c r="Z11" s="385">
        <f t="shared" ca="1" si="25"/>
        <v>-1.9375</v>
      </c>
      <c r="AA11" s="255">
        <f ca="1">IF(OR(A11="",F11=0,Q$26="-",LU!$D$5=0),"",Q11-Q$26)</f>
        <v>-20.714285714285715</v>
      </c>
      <c r="AB11" s="256">
        <f ca="1">IF(OR(A11="",F11=0,R$26="-",LU!$D$5=0),"",R11-R$26)</f>
        <v>23.071428571428569</v>
      </c>
      <c r="AC11" s="368">
        <f t="shared" ca="1" si="6"/>
        <v>-43.785714285714285</v>
      </c>
      <c r="AD11" s="389" t="str">
        <f t="shared" si="7"/>
        <v/>
      </c>
      <c r="AE11" s="389">
        <f t="shared" ca="1" si="8"/>
        <v>-2.9959415584415581</v>
      </c>
      <c r="AF11" s="390">
        <f t="shared" ca="1" si="9"/>
        <v>-4.0317522755022752</v>
      </c>
      <c r="AG11" s="391">
        <f ca="1">IF(OR($A11="",Z11="",Z$26="-",LU!$D$5=0),"",Z11-Z$26)</f>
        <v>-2.7249926788897376</v>
      </c>
      <c r="AH11" s="1099">
        <f ca="1">IF(OR(A11="",F11=0),"",SUM(PT!V13,PT!V14))</f>
        <v>0</v>
      </c>
      <c r="AI11" s="1100"/>
      <c r="AJ11" s="364" t="str">
        <f t="shared" si="10"/>
        <v>20</v>
      </c>
      <c r="AK11" s="257" t="str">
        <f t="shared" si="0"/>
        <v>Devil Kitty</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1</v>
      </c>
      <c r="AS11" s="248">
        <f ca="1">IF(OR($A11="",$F11=0),"",SUM(Actions!D10,Actions!K10))</f>
        <v>3</v>
      </c>
      <c r="AT11" s="248">
        <f ca="1">IF(OR($A11="",$F11=0),"",SUM(Actions!E10,Actions!L10))</f>
        <v>1</v>
      </c>
      <c r="AU11" s="248">
        <f ca="1">IF(OR($A11="",$F11=0),"",SUM(Actions!F10,Actions!M10))</f>
        <v>0</v>
      </c>
      <c r="AV11" s="248">
        <f ca="1">IF(OR($A11="",$F11=0),"",SUM(Actions!G10,Actions!N10))</f>
        <v>0</v>
      </c>
      <c r="AW11" s="365">
        <f t="shared" si="12"/>
        <v>5</v>
      </c>
      <c r="AX11" s="373">
        <f t="shared" si="26"/>
        <v>5</v>
      </c>
      <c r="AY11" s="374">
        <f t="shared" si="13"/>
        <v>0</v>
      </c>
      <c r="AZ11" s="370">
        <f t="shared" si="14"/>
        <v>0</v>
      </c>
      <c r="BA11" s="260">
        <f t="shared" si="15"/>
        <v>0</v>
      </c>
      <c r="BB11" s="368">
        <f t="shared" si="16"/>
        <v>0.3125</v>
      </c>
      <c r="BC11" s="261">
        <f t="shared" si="17"/>
        <v>3.2679738562091505E-2</v>
      </c>
      <c r="BD11" s="375">
        <f t="shared" si="18"/>
        <v>0.3125</v>
      </c>
      <c r="BE11" s="376">
        <f t="shared" si="19"/>
        <v>2.7932960893854747E-2</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f t="shared" si="21"/>
        <v>1</v>
      </c>
      <c r="BM11" s="377">
        <f t="shared" si="22"/>
        <v>1</v>
      </c>
      <c r="BN11" s="378">
        <f t="shared" si="23"/>
        <v>1</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t="str">
        <f t="shared" si="24"/>
        <v/>
      </c>
    </row>
    <row r="12" spans="1:72" s="161" customFormat="1" ht="19.5" customHeight="1">
      <c r="A12" s="364" t="str">
        <f ca="1">IF(ISBLANK(IBRF!$B17),"",IBRF!$B17)</f>
        <v>20KN</v>
      </c>
      <c r="B12" s="247" t="str">
        <f ca="1">IF(ISBLANK(IBRF!$C17),"",IBRF!$C17)</f>
        <v>Kraken Whips</v>
      </c>
      <c r="C12" s="248">
        <f ca="1">IF(A12="","",SUM(LU!O15,LU!O114))</f>
        <v>6</v>
      </c>
      <c r="D12" s="248">
        <f ca="1">IF(A12="","",SUM(LU!D15,LU!D114))</f>
        <v>0</v>
      </c>
      <c r="E12" s="249">
        <f ca="1">IF(A12="","",SUM(LU!J15,LU!J114))</f>
        <v>6</v>
      </c>
      <c r="F12" s="379">
        <f ca="1">IF(A12="","",(SUM(C12:E12)-(SUMPRODUCT(--(Lineups!C$4:C$79=A12),--(Lineups!A$4:A$79="SP"))+SUMPRODUCT(--(Lineups!F$4:F$79=A12),--(Lineups!A$4:A$79="SP"))+SUMPRODUCT(--(Lineups!C$88:C$163=A12),--(Lineups!A$88:A$163="SP"))+SUMPRODUCT(--(Lineups!F$88:F$163=A12),--(Lineups!A$88:A$163="SP")))))</f>
        <v>12</v>
      </c>
      <c r="G12" s="380">
        <f ca="1">IF(OR(A12="",F12=0,LU!D$3+LU!D$102=0),"",F12/(LU!D$3+LU!D$102))</f>
        <v>0.27272727272727271</v>
      </c>
      <c r="H12" s="365">
        <f ca="1">IF(OR(C12=0,A12=""),"",SK!D192)</f>
        <v>20</v>
      </c>
      <c r="I12" s="383">
        <f ca="1">IF(OR(A12="",SK!E192="",SK!E192=0),"",H12/SK!E192)</f>
        <v>3.3333333333333335</v>
      </c>
      <c r="J12" s="250">
        <f ca="1">IF(OR(A12="",C12=0),"",SK!G192)</f>
        <v>1</v>
      </c>
      <c r="K12" s="366">
        <f ca="1">IF(OR(A12="",C12=0),"",SK!H192)</f>
        <v>5</v>
      </c>
      <c r="L12" s="251">
        <f ca="1">IF(OR(A12="",C12=0),"",SK!J192)</f>
        <v>4</v>
      </c>
      <c r="M12" s="251">
        <f ca="1">IF(OR(A12="",C12=0),"",SK!L192)</f>
        <v>0</v>
      </c>
      <c r="N12" s="367">
        <f t="shared" ca="1" si="1"/>
        <v>0.83333333333333337</v>
      </c>
      <c r="O12" s="384">
        <f ca="1">IF(OR(A12="",C12=0),"",SK!I192)</f>
        <v>16</v>
      </c>
      <c r="P12" s="385">
        <f t="shared" ca="1" si="2"/>
        <v>3.2</v>
      </c>
      <c r="Q12" s="252">
        <f ca="1">IF(OR(A12="",F12=0),"",SUM(LU!Q61,LU!Q160))</f>
        <v>29</v>
      </c>
      <c r="R12" s="248">
        <f ca="1">IF(OR(A12="",F12=0),"",SUM(LU!Q84,LU!Q183))</f>
        <v>28</v>
      </c>
      <c r="S12" s="365">
        <f ca="1">IF(OR(A12="",F12=0),"",SUM(LU!Q38,LU!Q137))</f>
        <v>1</v>
      </c>
      <c r="T12" s="248">
        <f ca="1">IF(OR(A12="",C12=0),"",SUM(LU!O38,LU!O137))</f>
        <v>15</v>
      </c>
      <c r="U12" s="253">
        <f t="shared" ca="1" si="3"/>
        <v>2.5</v>
      </c>
      <c r="V12" s="254" t="str">
        <f ca="1">IF(OR(A12="",D12=0),"",SUM(LU!D38,LU!D137))</f>
        <v/>
      </c>
      <c r="W12" s="253" t="str">
        <f t="shared" si="4"/>
        <v/>
      </c>
      <c r="X12" s="254">
        <f ca="1">IF(OR(A12="",E12=0),"",SUM(LU!J38,LU!J137))</f>
        <v>-14</v>
      </c>
      <c r="Y12" s="253">
        <f t="shared" ca="1" si="5"/>
        <v>-2.3333333333333335</v>
      </c>
      <c r="Z12" s="385">
        <f t="shared" ca="1" si="25"/>
        <v>8.3333333333333329E-2</v>
      </c>
      <c r="AA12" s="255">
        <f ca="1">IF(OR(A12="",F12=0,Q$26="-",LU!$D$5=0),"",Q12-Q$26)</f>
        <v>-21.714285714285715</v>
      </c>
      <c r="AB12" s="256">
        <f ca="1">IF(OR(A12="",F12=0,R$26="-",LU!$D$5=0),"",R12-R$26)</f>
        <v>-9.9285714285714306</v>
      </c>
      <c r="AC12" s="368">
        <f t="shared" ca="1" si="6"/>
        <v>-11.785714285714285</v>
      </c>
      <c r="AD12" s="389">
        <f t="shared" ca="1" si="7"/>
        <v>1.473901098901099</v>
      </c>
      <c r="AE12" s="389" t="str">
        <f t="shared" si="8"/>
        <v/>
      </c>
      <c r="AF12" s="390">
        <f t="shared" ca="1" si="9"/>
        <v>-2.8650856088356091</v>
      </c>
      <c r="AG12" s="391">
        <f ca="1">IF(OR($A12="",Z12="",Z$26="-",LU!$D$5=0),"",Z12-Z$26)</f>
        <v>-0.70415934555640425</v>
      </c>
      <c r="AH12" s="1099">
        <f ca="1">IF(OR(A12="",F12=0),"",SUM(PT!V15,PT!V16))</f>
        <v>1</v>
      </c>
      <c r="AI12" s="1100"/>
      <c r="AJ12" s="364" t="str">
        <f t="shared" si="10"/>
        <v>20KN</v>
      </c>
      <c r="AK12" s="257" t="str">
        <f t="shared" si="0"/>
        <v>Kraken Whips</v>
      </c>
      <c r="AL12" s="258">
        <f ca="1">IF(OR($A12="",$F12=0),"",SUM(Actions!C81,Actions!J81))</f>
        <v>0</v>
      </c>
      <c r="AM12" s="259">
        <f ca="1">IF(OR($A12="",$F12=0),"",SUM(Actions!D81,Actions!K81))</f>
        <v>0</v>
      </c>
      <c r="AN12" s="259">
        <f ca="1">IF(OR($A12="",$F12=0),"",SUM(Actions!E81,Actions!L81))</f>
        <v>0</v>
      </c>
      <c r="AO12" s="259">
        <f ca="1">IF(OR($A12="",$F12=0),"",SUM(Actions!F81,Actions!M81))</f>
        <v>1</v>
      </c>
      <c r="AP12" s="259">
        <f ca="1">IF(OR($A12="",$F12=0),"",SUM(Actions!G81,Actions!N81))</f>
        <v>0</v>
      </c>
      <c r="AQ12" s="369">
        <f t="shared" si="11"/>
        <v>1</v>
      </c>
      <c r="AR12" s="252">
        <f ca="1">IF(OR($A12="",$F12=0),"",SUM(Actions!C11,Actions!J11))</f>
        <v>2</v>
      </c>
      <c r="AS12" s="248">
        <f ca="1">IF(OR($A12="",$F12=0),"",SUM(Actions!D11,Actions!K11))</f>
        <v>0</v>
      </c>
      <c r="AT12" s="248">
        <f ca="1">IF(OR($A12="",$F12=0),"",SUM(Actions!E11,Actions!L11))</f>
        <v>2</v>
      </c>
      <c r="AU12" s="248">
        <f ca="1">IF(OR($A12="",$F12=0),"",SUM(Actions!F11,Actions!M11))</f>
        <v>1</v>
      </c>
      <c r="AV12" s="248">
        <f ca="1">IF(OR($A12="",$F12=0),"",SUM(Actions!G11,Actions!N11))</f>
        <v>0</v>
      </c>
      <c r="AW12" s="365">
        <f t="shared" si="12"/>
        <v>5</v>
      </c>
      <c r="AX12" s="373">
        <f t="shared" si="26"/>
        <v>6</v>
      </c>
      <c r="AY12" s="374">
        <f t="shared" si="13"/>
        <v>1</v>
      </c>
      <c r="AZ12" s="370">
        <f t="shared" si="14"/>
        <v>8.3333333333333329E-2</v>
      </c>
      <c r="BA12" s="260">
        <f t="shared" si="15"/>
        <v>3.8461538461538464E-2</v>
      </c>
      <c r="BB12" s="368">
        <f t="shared" si="16"/>
        <v>0.41666666666666669</v>
      </c>
      <c r="BC12" s="261">
        <f t="shared" si="17"/>
        <v>3.2679738562091505E-2</v>
      </c>
      <c r="BD12" s="375">
        <f t="shared" si="18"/>
        <v>0.5</v>
      </c>
      <c r="BE12" s="376">
        <f t="shared" si="19"/>
        <v>3.3519553072625698E-2</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f t="shared" si="21"/>
        <v>1</v>
      </c>
      <c r="BM12" s="377">
        <f t="shared" si="22"/>
        <v>1</v>
      </c>
      <c r="BN12" s="378">
        <f t="shared" si="23"/>
        <v>1</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212</v>
      </c>
      <c r="B13" s="247" t="str">
        <f ca="1">IF(ISBLANK(IBRF!$C18),"",IBRF!$C18)</f>
        <v>Wham!tramck</v>
      </c>
      <c r="C13" s="248">
        <f ca="1">IF(A13="","",SUM(LU!O16,LU!O115))</f>
        <v>0</v>
      </c>
      <c r="D13" s="248">
        <f ca="1">IF(A13="","",SUM(LU!D16,LU!D115))</f>
        <v>0</v>
      </c>
      <c r="E13" s="249">
        <f ca="1">IF(A13="","",SUM(LU!J16,LU!J115))</f>
        <v>16</v>
      </c>
      <c r="F13" s="379">
        <f ca="1">IF(A13="","",(SUM(C13:E13)-(SUMPRODUCT(--(Lineups!C$4:C$79=A13),--(Lineups!A$4:A$79="SP"))+SUMPRODUCT(--(Lineups!F$4:F$79=A13),--(Lineups!A$4:A$79="SP"))+SUMPRODUCT(--(Lineups!C$88:C$163=A13),--(Lineups!A$88:A$163="SP"))+SUMPRODUCT(--(Lineups!F$88:F$163=A13),--(Lineups!A$88:A$163="SP")))))</f>
        <v>16</v>
      </c>
      <c r="G13" s="380">
        <f ca="1">IF(OR(A13="",F13=0,LU!D$3+LU!D$102=0),"",F13/(LU!D$3+LU!D$102))</f>
        <v>0.36363636363636365</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34</v>
      </c>
      <c r="R13" s="248">
        <f ca="1">IF(OR(A13="",F13=0),"",SUM(LU!Q85,LU!Q184))</f>
        <v>50</v>
      </c>
      <c r="S13" s="365">
        <f ca="1">IF(OR(A13="",F13=0),"",SUM(LU!Q39,LU!Q138))</f>
        <v>-16</v>
      </c>
      <c r="T13" s="248" t="str">
        <f ca="1">IF(OR(A13="",C13=0),"",SUM(LU!O39,LU!O138))</f>
        <v/>
      </c>
      <c r="U13" s="253" t="str">
        <f t="shared" si="3"/>
        <v/>
      </c>
      <c r="V13" s="254" t="str">
        <f ca="1">IF(OR(A13="",D13=0),"",SUM(LU!D39,LU!D138))</f>
        <v/>
      </c>
      <c r="W13" s="253" t="str">
        <f t="shared" si="4"/>
        <v/>
      </c>
      <c r="X13" s="254">
        <f ca="1">IF(OR(A13="",E13=0),"",SUM(LU!J39,LU!J138))</f>
        <v>-16</v>
      </c>
      <c r="Y13" s="253">
        <f t="shared" ca="1" si="5"/>
        <v>-1</v>
      </c>
      <c r="Z13" s="385">
        <f t="shared" ca="1" si="25"/>
        <v>-1</v>
      </c>
      <c r="AA13" s="255">
        <f ca="1">IF(OR(A13="",F13=0,Q$26="-",LU!$D$5=0),"",Q13-Q$26)</f>
        <v>-16.714285714285715</v>
      </c>
      <c r="AB13" s="256">
        <f ca="1">IF(OR(A13="",F13=0,R$26="-",LU!$D$5=0),"",R13-R$26)</f>
        <v>12.071428571428569</v>
      </c>
      <c r="AC13" s="368">
        <f t="shared" ca="1" si="6"/>
        <v>-28.785714285714285</v>
      </c>
      <c r="AD13" s="389" t="str">
        <f t="shared" si="7"/>
        <v/>
      </c>
      <c r="AE13" s="389" t="str">
        <f t="shared" si="8"/>
        <v/>
      </c>
      <c r="AF13" s="390">
        <f t="shared" ca="1" si="9"/>
        <v>-1.5317522755022757</v>
      </c>
      <c r="AG13" s="391">
        <f ca="1">IF(OR($A13="",Z13="",Z$26="-",LU!$D$5=0),"",Z13-Z$26)</f>
        <v>-1.7874926788897376</v>
      </c>
      <c r="AH13" s="1099">
        <f ca="1">IF(OR(A13="",F13=0),"",SUM(PT!V17,PT!V18))</f>
        <v>1</v>
      </c>
      <c r="AI13" s="1100"/>
      <c r="AJ13" s="364" t="str">
        <f t="shared" si="10"/>
        <v>212</v>
      </c>
      <c r="AK13" s="257" t="str">
        <f t="shared" si="0"/>
        <v>Wham!tramck</v>
      </c>
      <c r="AL13" s="258">
        <f ca="1">IF(OR($A13="",$F13=0),"",SUM(Actions!C82,Actions!J82))</f>
        <v>1</v>
      </c>
      <c r="AM13" s="259">
        <f ca="1">IF(OR($A13="",$F13=0),"",SUM(Actions!D82,Actions!K82))</f>
        <v>0</v>
      </c>
      <c r="AN13" s="259">
        <f ca="1">IF(OR($A13="",$F13=0),"",SUM(Actions!E82,Actions!L82))</f>
        <v>1</v>
      </c>
      <c r="AO13" s="259">
        <f ca="1">IF(OR($A13="",$F13=0),"",SUM(Actions!F82,Actions!M82))</f>
        <v>0</v>
      </c>
      <c r="AP13" s="259">
        <f ca="1">IF(OR($A13="",$F13=0),"",SUM(Actions!G82,Actions!N82))</f>
        <v>0</v>
      </c>
      <c r="AQ13" s="369">
        <f t="shared" si="11"/>
        <v>2</v>
      </c>
      <c r="AR13" s="252">
        <f ca="1">IF(OR($A13="",$F13=0),"",SUM(Actions!C12,Actions!J12))</f>
        <v>8</v>
      </c>
      <c r="AS13" s="248">
        <f ca="1">IF(OR($A13="",$F13=0),"",SUM(Actions!D12,Actions!K12))</f>
        <v>6</v>
      </c>
      <c r="AT13" s="248">
        <f ca="1">IF(OR($A13="",$F13=0),"",SUM(Actions!E12,Actions!L12))</f>
        <v>3</v>
      </c>
      <c r="AU13" s="248">
        <f ca="1">IF(OR($A13="",$F13=0),"",SUM(Actions!F12,Actions!M12))</f>
        <v>1</v>
      </c>
      <c r="AV13" s="248">
        <f ca="1">IF(OR($A13="",$F13=0),"",SUM(Actions!G12,Actions!N12))</f>
        <v>0</v>
      </c>
      <c r="AW13" s="365">
        <f t="shared" si="12"/>
        <v>18</v>
      </c>
      <c r="AX13" s="373">
        <f t="shared" si="26"/>
        <v>20</v>
      </c>
      <c r="AY13" s="374">
        <f t="shared" si="13"/>
        <v>1</v>
      </c>
      <c r="AZ13" s="370">
        <f t="shared" si="14"/>
        <v>0.125</v>
      </c>
      <c r="BA13" s="260">
        <f t="shared" si="15"/>
        <v>7.6923076923076927E-2</v>
      </c>
      <c r="BB13" s="368">
        <f t="shared" si="16"/>
        <v>1.125</v>
      </c>
      <c r="BC13" s="261">
        <f t="shared" si="17"/>
        <v>0.11764705882352941</v>
      </c>
      <c r="BD13" s="375">
        <f t="shared" si="18"/>
        <v>1.25</v>
      </c>
      <c r="BE13" s="376">
        <f t="shared" si="19"/>
        <v>0.11173184357541899</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f t="shared" si="21"/>
        <v>1</v>
      </c>
      <c r="BM13" s="377">
        <f t="shared" si="22"/>
        <v>1</v>
      </c>
      <c r="BN13" s="378">
        <f t="shared" si="23"/>
        <v>1</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33 1/3</v>
      </c>
      <c r="B14" s="247" t="str">
        <f ca="1">IF(ISBLANK(IBRF!$C19),"",IBRF!$C19)</f>
        <v>Cookie Rumble</v>
      </c>
      <c r="C14" s="248">
        <f ca="1">IF(A14="","",SUM(LU!O17,LU!O116))</f>
        <v>8</v>
      </c>
      <c r="D14" s="248">
        <f ca="1">IF(A14="","",SUM(LU!D17,LU!D116))</f>
        <v>3</v>
      </c>
      <c r="E14" s="249">
        <f ca="1">IF(A14="","",SUM(LU!J17,LU!J116))</f>
        <v>14</v>
      </c>
      <c r="F14" s="379">
        <f ca="1">IF(A14="","",(SUM(C14:E14)-(SUMPRODUCT(--(Lineups!C$4:C$79=A14),--(Lineups!A$4:A$79="SP"))+SUMPRODUCT(--(Lineups!F$4:F$79=A14),--(Lineups!A$4:A$79="SP"))+SUMPRODUCT(--(Lineups!C$88:C$163=A14),--(Lineups!A$88:A$163="SP"))+SUMPRODUCT(--(Lineups!F$88:F$163=A14),--(Lineups!A$88:A$163="SP")))))</f>
        <v>25</v>
      </c>
      <c r="G14" s="380">
        <f ca="1">IF(OR(A14="",F14=0,LU!D$3+LU!D$102=0),"",F14/(LU!D$3+LU!D$102))</f>
        <v>0.56818181818181823</v>
      </c>
      <c r="H14" s="365">
        <f ca="1">IF(OR(C14=0,A14=""),"",SK!D198)</f>
        <v>48</v>
      </c>
      <c r="I14" s="383">
        <f ca="1">IF(OR(A14="",SK!E198="",SK!E198=0),"",H14/SK!E198)</f>
        <v>6</v>
      </c>
      <c r="J14" s="250">
        <f ca="1">IF(OR(A14="",C14=0),"",SK!G198)</f>
        <v>1</v>
      </c>
      <c r="K14" s="366">
        <f ca="1">IF(OR(A14="",C14=0),"",SK!H198)</f>
        <v>3</v>
      </c>
      <c r="L14" s="251">
        <f ca="1">IF(OR(A14="",C14=0),"",SK!J198)</f>
        <v>3</v>
      </c>
      <c r="M14" s="251">
        <f ca="1">IF(OR(A14="",C14=0),"",SK!L198)</f>
        <v>0</v>
      </c>
      <c r="N14" s="367">
        <f t="shared" ca="1" si="1"/>
        <v>0.375</v>
      </c>
      <c r="O14" s="384">
        <f ca="1">IF(OR(A14="",C14=0),"",SK!I198)</f>
        <v>23</v>
      </c>
      <c r="P14" s="385">
        <f t="shared" ca="1" si="2"/>
        <v>7.666666666666667</v>
      </c>
      <c r="Q14" s="252">
        <f ca="1">IF(OR(A14="",F14=0),"",SUM(LU!Q63,LU!Q162))</f>
        <v>99</v>
      </c>
      <c r="R14" s="248">
        <f ca="1">IF(OR(A14="",F14=0),"",SUM(LU!Q86,LU!Q185))</f>
        <v>62</v>
      </c>
      <c r="S14" s="365">
        <f ca="1">IF(OR(A14="",F14=0),"",SUM(LU!Q40,LU!Q139))</f>
        <v>37</v>
      </c>
      <c r="T14" s="248">
        <f ca="1">IF(OR(A14="",C14=0),"",SUM(LU!O40,LU!O139))</f>
        <v>33</v>
      </c>
      <c r="U14" s="253">
        <f t="shared" ca="1" si="3"/>
        <v>4.125</v>
      </c>
      <c r="V14" s="254">
        <f ca="1">IF(OR(A14="",D14=0),"",SUM(LU!D40,LU!D139))</f>
        <v>9</v>
      </c>
      <c r="W14" s="253">
        <f t="shared" ca="1" si="4"/>
        <v>3</v>
      </c>
      <c r="X14" s="254">
        <f ca="1">IF(OR(A14="",E14=0),"",SUM(LU!J40,LU!J139))</f>
        <v>-5</v>
      </c>
      <c r="Y14" s="253">
        <f t="shared" ca="1" si="5"/>
        <v>-0.35714285714285715</v>
      </c>
      <c r="Z14" s="385">
        <f t="shared" ca="1" si="25"/>
        <v>1.48</v>
      </c>
      <c r="AA14" s="255">
        <f ca="1">IF(OR(A14="",F14=0,Q$26="-",LU!$D$5=0),"",Q14-Q$26)</f>
        <v>48.285714285714285</v>
      </c>
      <c r="AB14" s="256">
        <f ca="1">IF(OR(A14="",F14=0,R$26="-",LU!$D$5=0),"",R14-R$26)</f>
        <v>24.071428571428569</v>
      </c>
      <c r="AC14" s="368">
        <f t="shared" ca="1" si="6"/>
        <v>24.214285714285715</v>
      </c>
      <c r="AD14" s="389">
        <f t="shared" ca="1" si="7"/>
        <v>3.098901098901099</v>
      </c>
      <c r="AE14" s="389">
        <f t="shared" ca="1" si="8"/>
        <v>1.7183441558441559</v>
      </c>
      <c r="AF14" s="390">
        <f t="shared" ca="1" si="9"/>
        <v>-0.88889513264513265</v>
      </c>
      <c r="AG14" s="391">
        <f ca="1">IF(OR($A14="",Z14="",Z$26="-",LU!$D$5=0),"",Z14-Z$26)</f>
        <v>0.69250732111026236</v>
      </c>
      <c r="AH14" s="1099">
        <f ca="1">IF(OR(A14="",F14=0),"",SUM(PT!V19,PT!V20))</f>
        <v>2</v>
      </c>
      <c r="AI14" s="1100"/>
      <c r="AJ14" s="364" t="str">
        <f t="shared" si="10"/>
        <v>33 1/3</v>
      </c>
      <c r="AK14" s="257" t="str">
        <f t="shared" si="0"/>
        <v>Cookie Rumble</v>
      </c>
      <c r="AL14" s="258">
        <f ca="1">IF(OR($A14="",$F14=0),"",SUM(Actions!C83,Actions!J83))</f>
        <v>7</v>
      </c>
      <c r="AM14" s="259">
        <f ca="1">IF(OR($A14="",$F14=0),"",SUM(Actions!D83,Actions!K83))</f>
        <v>0</v>
      </c>
      <c r="AN14" s="259">
        <f ca="1">IF(OR($A14="",$F14=0),"",SUM(Actions!E83,Actions!L83))</f>
        <v>0</v>
      </c>
      <c r="AO14" s="259">
        <f ca="1">IF(OR($A14="",$F14=0),"",SUM(Actions!F83,Actions!M83))</f>
        <v>1</v>
      </c>
      <c r="AP14" s="259">
        <f ca="1">IF(OR($A14="",$F14=0),"",SUM(Actions!G83,Actions!N83))</f>
        <v>0</v>
      </c>
      <c r="AQ14" s="369">
        <f t="shared" si="11"/>
        <v>8</v>
      </c>
      <c r="AR14" s="252">
        <f ca="1">IF(OR($A14="",$F14=0),"",SUM(Actions!C13,Actions!J13))</f>
        <v>6</v>
      </c>
      <c r="AS14" s="248">
        <f ca="1">IF(OR($A14="",$F14=0),"",SUM(Actions!D13,Actions!K13))</f>
        <v>4</v>
      </c>
      <c r="AT14" s="248">
        <f ca="1">IF(OR($A14="",$F14=0),"",SUM(Actions!E13,Actions!L13))</f>
        <v>10</v>
      </c>
      <c r="AU14" s="248">
        <f ca="1">IF(OR($A14="",$F14=0),"",SUM(Actions!F13,Actions!M13))</f>
        <v>3</v>
      </c>
      <c r="AV14" s="248">
        <f ca="1">IF(OR($A14="",$F14=0),"",SUM(Actions!G13,Actions!N13))</f>
        <v>2</v>
      </c>
      <c r="AW14" s="365">
        <f t="shared" si="12"/>
        <v>25</v>
      </c>
      <c r="AX14" s="373">
        <f t="shared" si="26"/>
        <v>33</v>
      </c>
      <c r="AY14" s="374">
        <f t="shared" si="13"/>
        <v>3</v>
      </c>
      <c r="AZ14" s="370">
        <f t="shared" si="14"/>
        <v>0.32</v>
      </c>
      <c r="BA14" s="260">
        <f t="shared" si="15"/>
        <v>0.30769230769230771</v>
      </c>
      <c r="BB14" s="368">
        <f t="shared" si="16"/>
        <v>1</v>
      </c>
      <c r="BC14" s="261">
        <f t="shared" si="17"/>
        <v>0.16339869281045752</v>
      </c>
      <c r="BD14" s="375">
        <f t="shared" si="18"/>
        <v>1.32</v>
      </c>
      <c r="BE14" s="376">
        <f t="shared" si="19"/>
        <v>0.18435754189944134</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f t="shared" si="21"/>
        <v>1</v>
      </c>
      <c r="BM14" s="377">
        <f t="shared" si="22"/>
        <v>1</v>
      </c>
      <c r="BN14" s="378">
        <f t="shared" si="23"/>
        <v>1</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428</v>
      </c>
      <c r="B15" s="247" t="str">
        <f ca="1">IF(ISBLANK(IBRF!$C20),"",IBRF!$C20)</f>
        <v>Freakin' Rican</v>
      </c>
      <c r="C15" s="248">
        <f ca="1">IF(A15="","",SUM(LU!O18,LU!O117))</f>
        <v>13</v>
      </c>
      <c r="D15" s="248">
        <f ca="1">IF(A15="","",SUM(LU!D18,LU!D117))</f>
        <v>4</v>
      </c>
      <c r="E15" s="249">
        <f ca="1">IF(A15="","",SUM(LU!J18,LU!J117))</f>
        <v>0</v>
      </c>
      <c r="F15" s="379">
        <f ca="1">IF(A15="","",(SUM(C15:E15)-(SUMPRODUCT(--(Lineups!C$4:C$79=A15),--(Lineups!A$4:A$79="SP"))+SUMPRODUCT(--(Lineups!F$4:F$79=A15),--(Lineups!A$4:A$79="SP"))+SUMPRODUCT(--(Lineups!C$88:C$163=A15),--(Lineups!A$88:A$163="SP"))+SUMPRODUCT(--(Lineups!F$88:F$163=A15),--(Lineups!A$88:A$163="SP")))))</f>
        <v>17</v>
      </c>
      <c r="G15" s="380">
        <f ca="1">IF(OR(A15="",F15=0,LU!D$3+LU!D$102=0),"",F15/(LU!D$3+LU!D$102))</f>
        <v>0.38636363636363635</v>
      </c>
      <c r="H15" s="365">
        <f ca="1">IF(OR(C15=0,A15=""),"",SK!D201)</f>
        <v>38</v>
      </c>
      <c r="I15" s="383">
        <f ca="1">IF(OR(A15="",SK!E201="",SK!E201=0),"",H15/SK!E201)</f>
        <v>2.9230769230769229</v>
      </c>
      <c r="J15" s="250">
        <f ca="1">IF(OR(A15="",C15=0),"",SK!G201)</f>
        <v>0</v>
      </c>
      <c r="K15" s="366">
        <f ca="1">IF(OR(A15="",C15=0),"",SK!H201)</f>
        <v>6</v>
      </c>
      <c r="L15" s="251">
        <f ca="1">IF(OR(A15="",C15=0),"",SK!J201)</f>
        <v>4</v>
      </c>
      <c r="M15" s="251">
        <f ca="1">IF(OR(A15="",C15=0),"",SK!L201)</f>
        <v>0</v>
      </c>
      <c r="N15" s="367">
        <f t="shared" ca="1" si="1"/>
        <v>0.46153846153846156</v>
      </c>
      <c r="O15" s="384">
        <f ca="1">IF(OR(A15="",C15=0),"",SK!I201)</f>
        <v>22</v>
      </c>
      <c r="P15" s="385">
        <f t="shared" ca="1" si="2"/>
        <v>3.6666666666666665</v>
      </c>
      <c r="Q15" s="252">
        <f ca="1">IF(OR(A15="",F15=0),"",SUM(LU!Q64,LU!Q163))</f>
        <v>58</v>
      </c>
      <c r="R15" s="248">
        <f ca="1">IF(OR(A15="",F15=0),"",SUM(LU!Q87,LU!Q186))</f>
        <v>63</v>
      </c>
      <c r="S15" s="365">
        <f ca="1">IF(OR(A15="",F15=0),"",SUM(LU!Q41,LU!Q140))</f>
        <v>-5</v>
      </c>
      <c r="T15" s="248">
        <f ca="1">IF(OR(A15="",C15=0),"",SUM(LU!O41,LU!O140))</f>
        <v>-12</v>
      </c>
      <c r="U15" s="253">
        <f t="shared" ca="1" si="3"/>
        <v>-0.92307692307692313</v>
      </c>
      <c r="V15" s="254">
        <f ca="1">IF(OR(A15="",D15=0),"",SUM(LU!D41,LU!D140))</f>
        <v>7</v>
      </c>
      <c r="W15" s="253">
        <f t="shared" ca="1" si="4"/>
        <v>1.75</v>
      </c>
      <c r="X15" s="254" t="str">
        <f ca="1">IF(OR(A15="",E15=0),"",SUM(LU!J41,LU!J140))</f>
        <v/>
      </c>
      <c r="Y15" s="253" t="str">
        <f t="shared" si="5"/>
        <v/>
      </c>
      <c r="Z15" s="385">
        <f t="shared" ca="1" si="25"/>
        <v>-0.29411764705882354</v>
      </c>
      <c r="AA15" s="255">
        <f ca="1">IF(OR(A15="",F15=0,Q$26="-",LU!$D$5=0),"",Q15-Q$26)</f>
        <v>7.2857142857142847</v>
      </c>
      <c r="AB15" s="256">
        <f ca="1">IF(OR(A15="",F15=0,R$26="-",LU!$D$5=0),"",R15-R$26)</f>
        <v>25.071428571428569</v>
      </c>
      <c r="AC15" s="368">
        <f t="shared" ca="1" si="6"/>
        <v>-17.785714285714285</v>
      </c>
      <c r="AD15" s="389">
        <f t="shared" ca="1" si="7"/>
        <v>-1.9491758241758241</v>
      </c>
      <c r="AE15" s="389">
        <f t="shared" ca="1" si="8"/>
        <v>0.4683441558441559</v>
      </c>
      <c r="AF15" s="390" t="str">
        <f t="shared" si="9"/>
        <v/>
      </c>
      <c r="AG15" s="391">
        <f ca="1">IF(OR($A15="",Z15="",Z$26="-",LU!$D$5=0),"",Z15-Z$26)</f>
        <v>-1.0816103259485612</v>
      </c>
      <c r="AH15" s="1099">
        <f ca="1">IF(OR(A15="",F15=0),"",SUM(PT!V21,PT!V22))</f>
        <v>1</v>
      </c>
      <c r="AI15" s="1100"/>
      <c r="AJ15" s="364" t="str">
        <f t="shared" si="10"/>
        <v>428</v>
      </c>
      <c r="AK15" s="257" t="str">
        <f t="shared" si="0"/>
        <v>Freakin' Rican</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2</v>
      </c>
      <c r="AS15" s="248">
        <f ca="1">IF(OR($A15="",$F15=0),"",SUM(Actions!D14,Actions!K14))</f>
        <v>0</v>
      </c>
      <c r="AT15" s="248">
        <f ca="1">IF(OR($A15="",$F15=0),"",SUM(Actions!E14,Actions!L14))</f>
        <v>2</v>
      </c>
      <c r="AU15" s="248">
        <f ca="1">IF(OR($A15="",$F15=0),"",SUM(Actions!F14,Actions!M14))</f>
        <v>3</v>
      </c>
      <c r="AV15" s="248">
        <f ca="1">IF(OR($A15="",$F15=0),"",SUM(Actions!G14,Actions!N14))</f>
        <v>0</v>
      </c>
      <c r="AW15" s="365">
        <f t="shared" si="12"/>
        <v>7</v>
      </c>
      <c r="AX15" s="373">
        <f t="shared" si="26"/>
        <v>7</v>
      </c>
      <c r="AY15" s="374">
        <f t="shared" si="13"/>
        <v>3</v>
      </c>
      <c r="AZ15" s="370">
        <f t="shared" si="14"/>
        <v>0</v>
      </c>
      <c r="BA15" s="260">
        <f t="shared" si="15"/>
        <v>0</v>
      </c>
      <c r="BB15" s="368">
        <f t="shared" si="16"/>
        <v>0.41176470588235292</v>
      </c>
      <c r="BC15" s="261">
        <f t="shared" si="17"/>
        <v>4.5751633986928102E-2</v>
      </c>
      <c r="BD15" s="375">
        <f t="shared" si="18"/>
        <v>0.41176470588235292</v>
      </c>
      <c r="BE15" s="376">
        <f t="shared" si="19"/>
        <v>3.9106145251396648E-2</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f t="shared" si="21"/>
        <v>1</v>
      </c>
      <c r="BM15" s="377">
        <f t="shared" si="22"/>
        <v>1</v>
      </c>
      <c r="BN15" s="378">
        <f t="shared" si="23"/>
        <v>1</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364" t="str">
        <f ca="1">IF(ISBLANK(IBRF!$B21),"",IBRF!$B21)</f>
        <v>6</v>
      </c>
      <c r="B16" s="247" t="str">
        <f ca="1">IF(ISBLANK(IBRF!$C21),"",IBRF!$C21)</f>
        <v>Elle McFearsome</v>
      </c>
      <c r="C16" s="248">
        <f ca="1">IF(A16="","",SUM(LU!O19,LU!O118))</f>
        <v>0</v>
      </c>
      <c r="D16" s="248">
        <f ca="1">IF(A16="","",SUM(LU!D19,LU!D118))</f>
        <v>22</v>
      </c>
      <c r="E16" s="249">
        <f ca="1">IF(A16="","",SUM(LU!J19,LU!J118))</f>
        <v>0</v>
      </c>
      <c r="F16" s="379">
        <f ca="1">IF(A16="","",(SUM(C16:E16)-(SUMPRODUCT(--(Lineups!C$4:C$79=A16),--(Lineups!A$4:A$79="SP"))+SUMPRODUCT(--(Lineups!F$4:F$79=A16),--(Lineups!A$4:A$79="SP"))+SUMPRODUCT(--(Lineups!C$88:C$163=A16),--(Lineups!A$88:A$163="SP"))+SUMPRODUCT(--(Lineups!F$88:F$163=A16),--(Lineups!A$88:A$163="SP")))))</f>
        <v>22</v>
      </c>
      <c r="G16" s="380">
        <f ca="1">IF(OR(A16="",F16=0,LU!D$3+LU!D$102=0),"",F16/(LU!D$3+LU!D$102))</f>
        <v>0.5</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81</v>
      </c>
      <c r="R16" s="248">
        <f ca="1">IF(OR(A16="",F16=0),"",SUM(LU!Q88,LU!Q187))</f>
        <v>35</v>
      </c>
      <c r="S16" s="365">
        <f ca="1">IF(OR(A16="",F16=0),"",SUM(LU!Q42,LU!Q141))</f>
        <v>46</v>
      </c>
      <c r="T16" s="248" t="str">
        <f ca="1">IF(OR(A16="",C16=0),"",SUM(LU!O42,LU!O141))</f>
        <v/>
      </c>
      <c r="U16" s="253" t="str">
        <f t="shared" si="3"/>
        <v/>
      </c>
      <c r="V16" s="254">
        <f ca="1">IF(OR(A16="",D16=0),"",SUM(LU!D42,LU!D141))</f>
        <v>46</v>
      </c>
      <c r="W16" s="253">
        <f t="shared" ca="1" si="4"/>
        <v>2.0909090909090908</v>
      </c>
      <c r="X16" s="254" t="str">
        <f ca="1">IF(OR(A16="",E16=0),"",SUM(LU!J42,LU!J141))</f>
        <v/>
      </c>
      <c r="Y16" s="253" t="str">
        <f t="shared" si="5"/>
        <v/>
      </c>
      <c r="Z16" s="385">
        <f t="shared" ca="1" si="25"/>
        <v>2.0909090909090908</v>
      </c>
      <c r="AA16" s="255">
        <f ca="1">IF(OR(A16="",F16=0,Q$26="-",LU!$D$5=0),"",Q16-Q$26)</f>
        <v>30.285714285714285</v>
      </c>
      <c r="AB16" s="256">
        <f ca="1">IF(OR(A16="",F16=0,R$26="-",LU!$D$5=0),"",R16-R$26)</f>
        <v>-2.9285714285714306</v>
      </c>
      <c r="AC16" s="368">
        <f t="shared" ca="1" si="6"/>
        <v>33.214285714285715</v>
      </c>
      <c r="AD16" s="389" t="str">
        <f t="shared" si="7"/>
        <v/>
      </c>
      <c r="AE16" s="389">
        <f t="shared" ca="1" si="8"/>
        <v>0.80925324675324672</v>
      </c>
      <c r="AF16" s="390" t="str">
        <f t="shared" si="9"/>
        <v/>
      </c>
      <c r="AG16" s="391">
        <f ca="1">IF(OR($A16="",Z16="",Z$26="-",LU!$D$5=0),"",Z16-Z$26)</f>
        <v>1.3034164120193532</v>
      </c>
      <c r="AH16" s="1099">
        <f ca="1">IF(OR(A16="",F16=0),"",SUM(PT!V23,PT!V24))</f>
        <v>3</v>
      </c>
      <c r="AI16" s="1100"/>
      <c r="AJ16" s="364" t="str">
        <f t="shared" si="10"/>
        <v>6</v>
      </c>
      <c r="AK16" s="257" t="str">
        <f t="shared" si="0"/>
        <v>Elle McFearsome</v>
      </c>
      <c r="AL16" s="258">
        <f ca="1">IF(OR($A16="",$F16=0),"",SUM(Actions!C85,Actions!J85))</f>
        <v>4</v>
      </c>
      <c r="AM16" s="259">
        <f ca="1">IF(OR($A16="",$F16=0),"",SUM(Actions!D85,Actions!K85))</f>
        <v>1</v>
      </c>
      <c r="AN16" s="259">
        <f ca="1">IF(OR($A16="",$F16=0),"",SUM(Actions!E85,Actions!L85))</f>
        <v>0</v>
      </c>
      <c r="AO16" s="259">
        <f ca="1">IF(OR($A16="",$F16=0),"",SUM(Actions!F85,Actions!M85))</f>
        <v>0</v>
      </c>
      <c r="AP16" s="259">
        <f ca="1">IF(OR($A16="",$F16=0),"",SUM(Actions!G85,Actions!N85))</f>
        <v>0</v>
      </c>
      <c r="AQ16" s="369">
        <f t="shared" si="11"/>
        <v>5</v>
      </c>
      <c r="AR16" s="252">
        <f ca="1">IF(OR($A16="",$F16=0),"",SUM(Actions!C15,Actions!J15))</f>
        <v>9</v>
      </c>
      <c r="AS16" s="248">
        <f ca="1">IF(OR($A16="",$F16=0),"",SUM(Actions!D15,Actions!K15))</f>
        <v>5</v>
      </c>
      <c r="AT16" s="248">
        <f ca="1">IF(OR($A16="",$F16=0),"",SUM(Actions!E15,Actions!L15))</f>
        <v>6</v>
      </c>
      <c r="AU16" s="248">
        <f ca="1">IF(OR($A16="",$F16=0),"",SUM(Actions!F15,Actions!M15))</f>
        <v>6</v>
      </c>
      <c r="AV16" s="248">
        <f ca="1">IF(OR($A16="",$F16=0),"",SUM(Actions!G15,Actions!N15))</f>
        <v>3</v>
      </c>
      <c r="AW16" s="365">
        <f t="shared" si="12"/>
        <v>29</v>
      </c>
      <c r="AX16" s="373">
        <f t="shared" si="26"/>
        <v>34</v>
      </c>
      <c r="AY16" s="374">
        <f t="shared" si="13"/>
        <v>7</v>
      </c>
      <c r="AZ16" s="370">
        <f t="shared" si="14"/>
        <v>0.22727272727272727</v>
      </c>
      <c r="BA16" s="260">
        <f t="shared" si="15"/>
        <v>0.19230769230769232</v>
      </c>
      <c r="BB16" s="368">
        <f t="shared" si="16"/>
        <v>1.3181818181818181</v>
      </c>
      <c r="BC16" s="261">
        <f t="shared" si="17"/>
        <v>0.18954248366013071</v>
      </c>
      <c r="BD16" s="375">
        <f t="shared" si="18"/>
        <v>1.5454545454545454</v>
      </c>
      <c r="BE16" s="376">
        <f t="shared" si="19"/>
        <v>0.18994413407821228</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f t="shared" si="21"/>
        <v>1</v>
      </c>
      <c r="BM16" s="377">
        <f t="shared" si="22"/>
        <v>1</v>
      </c>
      <c r="BN16" s="378">
        <f t="shared" si="23"/>
        <v>1</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728</v>
      </c>
      <c r="B17" s="247" t="str">
        <f ca="1">IF(ISBLANK(IBRF!$C22),"",IBRF!$C22)</f>
        <v>Combat Cat</v>
      </c>
      <c r="C17" s="248">
        <f ca="1">IF(A17="","",SUM(LU!O20,LU!O119))</f>
        <v>7</v>
      </c>
      <c r="D17" s="248">
        <f ca="1">IF(A17="","",SUM(LU!D20,LU!D119))</f>
        <v>0</v>
      </c>
      <c r="E17" s="249">
        <f ca="1">IF(A17="","",SUM(LU!J20,LU!J119))</f>
        <v>13</v>
      </c>
      <c r="F17" s="379">
        <f ca="1">IF(A17="","",(SUM(C17:E17)-(SUMPRODUCT(--(Lineups!C$4:C$79=A17),--(Lineups!A$4:A$79="SP"))+SUMPRODUCT(--(Lineups!F$4:F$79=A17),--(Lineups!A$4:A$79="SP"))+SUMPRODUCT(--(Lineups!C$88:C$163=A17),--(Lineups!A$88:A$163="SP"))+SUMPRODUCT(--(Lineups!F$88:F$163=A17),--(Lineups!A$88:A$163="SP")))))</f>
        <v>20</v>
      </c>
      <c r="G17" s="380">
        <f ca="1">IF(OR(A17="",F17=0,LU!D$3+LU!D$102=0),"",F17/(LU!D$3+LU!D$102))</f>
        <v>0.45454545454545453</v>
      </c>
      <c r="H17" s="365">
        <f ca="1">IF(OR(C17=0,A17=""),"",SK!D207)</f>
        <v>17</v>
      </c>
      <c r="I17" s="383">
        <f ca="1">IF(OR(A17="",SK!E207="",SK!E207=0),"",H17/SK!E207)</f>
        <v>2.4285714285714284</v>
      </c>
      <c r="J17" s="250">
        <f ca="1">IF(OR(A17="",C17=0),"",SK!G207)</f>
        <v>2</v>
      </c>
      <c r="K17" s="366">
        <f ca="1">IF(OR(A17="",C17=0),"",SK!H207)</f>
        <v>4</v>
      </c>
      <c r="L17" s="251">
        <f ca="1">IF(OR(A17="",C17=0),"",SK!J207)</f>
        <v>3</v>
      </c>
      <c r="M17" s="251">
        <f ca="1">IF(OR(A17="",C17=0),"",SK!L207)</f>
        <v>0</v>
      </c>
      <c r="N17" s="367">
        <f t="shared" ca="1" si="1"/>
        <v>0.5714285714285714</v>
      </c>
      <c r="O17" s="384">
        <f ca="1">IF(OR(A17="",C17=0),"",SK!I207)</f>
        <v>3</v>
      </c>
      <c r="P17" s="385">
        <f t="shared" ca="1" si="2"/>
        <v>0.75</v>
      </c>
      <c r="Q17" s="252">
        <f ca="1">IF(OR(A17="",F17=0),"",SUM(LU!Q66,LU!Q165))</f>
        <v>103</v>
      </c>
      <c r="R17" s="248">
        <f ca="1">IF(OR(A17="",F17=0),"",SUM(LU!Q89,LU!Q188))</f>
        <v>39</v>
      </c>
      <c r="S17" s="365">
        <f ca="1">IF(OR(A17="",F17=0),"",SUM(LU!Q43,LU!Q142))</f>
        <v>64</v>
      </c>
      <c r="T17" s="248">
        <f ca="1">IF(OR(A17="",C17=0),"",SUM(LU!O43,LU!O142))</f>
        <v>-11</v>
      </c>
      <c r="U17" s="253">
        <f t="shared" ca="1" si="3"/>
        <v>-1.5714285714285714</v>
      </c>
      <c r="V17" s="254" t="str">
        <f ca="1">IF(OR(A17="",D17=0),"",SUM(LU!D43,LU!D142))</f>
        <v/>
      </c>
      <c r="W17" s="253" t="str">
        <f t="shared" si="4"/>
        <v/>
      </c>
      <c r="X17" s="254">
        <f ca="1">IF(OR(A17="",E17=0),"",SUM(LU!J43,LU!J142))</f>
        <v>75</v>
      </c>
      <c r="Y17" s="253">
        <f t="shared" ca="1" si="5"/>
        <v>5.7692307692307692</v>
      </c>
      <c r="Z17" s="385">
        <f t="shared" ca="1" si="25"/>
        <v>3.2</v>
      </c>
      <c r="AA17" s="255">
        <f ca="1">IF(OR(A17="",F17=0,Q$26="-",LU!$D$5=0),"",Q17-Q$26)</f>
        <v>52.285714285714285</v>
      </c>
      <c r="AB17" s="256">
        <f ca="1">IF(OR(A17="",F17=0,R$26="-",LU!$D$5=0),"",R17-R$26)</f>
        <v>1.0714285714285694</v>
      </c>
      <c r="AC17" s="368">
        <f t="shared" ca="1" si="6"/>
        <v>51.214285714285715</v>
      </c>
      <c r="AD17" s="389">
        <f t="shared" ca="1" si="7"/>
        <v>-2.5975274725274726</v>
      </c>
      <c r="AE17" s="389" t="str">
        <f t="shared" si="8"/>
        <v/>
      </c>
      <c r="AF17" s="390">
        <f t="shared" ca="1" si="9"/>
        <v>5.2374784937284939</v>
      </c>
      <c r="AG17" s="391">
        <f ca="1">IF(OR($A17="",Z17="",Z$26="-",LU!$D$5=0),"",Z17-Z$26)</f>
        <v>2.4125073211102626</v>
      </c>
      <c r="AH17" s="1099">
        <f ca="1">IF(OR(A17="",F17=0),"",SUM(PT!V25,PT!V26))</f>
        <v>3</v>
      </c>
      <c r="AI17" s="1100"/>
      <c r="AJ17" s="364" t="str">
        <f t="shared" si="10"/>
        <v>728</v>
      </c>
      <c r="AK17" s="257" t="str">
        <f t="shared" si="0"/>
        <v>Combat Cat</v>
      </c>
      <c r="AL17" s="258">
        <f ca="1">IF(OR($A17="",$F17=0),"",SUM(Actions!C86,Actions!J86))</f>
        <v>1</v>
      </c>
      <c r="AM17" s="259">
        <f ca="1">IF(OR($A17="",$F17=0),"",SUM(Actions!D86,Actions!K86))</f>
        <v>0</v>
      </c>
      <c r="AN17" s="259">
        <f ca="1">IF(OR($A17="",$F17=0),"",SUM(Actions!E86,Actions!L86))</f>
        <v>0</v>
      </c>
      <c r="AO17" s="259">
        <f ca="1">IF(OR($A17="",$F17=0),"",SUM(Actions!F86,Actions!M86))</f>
        <v>0</v>
      </c>
      <c r="AP17" s="259">
        <f ca="1">IF(OR($A17="",$F17=0),"",SUM(Actions!G86,Actions!N86))</f>
        <v>0</v>
      </c>
      <c r="AQ17" s="369">
        <f t="shared" si="11"/>
        <v>1</v>
      </c>
      <c r="AR17" s="252">
        <f ca="1">IF(OR($A17="",$F17=0),"",SUM(Actions!C16,Actions!J16))</f>
        <v>7</v>
      </c>
      <c r="AS17" s="248">
        <f ca="1">IF(OR($A17="",$F17=0),"",SUM(Actions!D16,Actions!K16))</f>
        <v>5</v>
      </c>
      <c r="AT17" s="248">
        <f ca="1">IF(OR($A17="",$F17=0),"",SUM(Actions!E16,Actions!L16))</f>
        <v>5</v>
      </c>
      <c r="AU17" s="248">
        <f ca="1">IF(OR($A17="",$F17=0),"",SUM(Actions!F16,Actions!M16))</f>
        <v>4</v>
      </c>
      <c r="AV17" s="248">
        <f ca="1">IF(OR($A17="",$F17=0),"",SUM(Actions!G16,Actions!N16))</f>
        <v>0</v>
      </c>
      <c r="AW17" s="365">
        <f t="shared" si="12"/>
        <v>21</v>
      </c>
      <c r="AX17" s="373">
        <f t="shared" si="26"/>
        <v>22</v>
      </c>
      <c r="AY17" s="374">
        <f t="shared" si="13"/>
        <v>4</v>
      </c>
      <c r="AZ17" s="370">
        <f t="shared" si="14"/>
        <v>0.05</v>
      </c>
      <c r="BA17" s="260">
        <f t="shared" si="15"/>
        <v>3.8461538461538464E-2</v>
      </c>
      <c r="BB17" s="368">
        <f t="shared" si="16"/>
        <v>1.05</v>
      </c>
      <c r="BC17" s="261">
        <f t="shared" si="17"/>
        <v>0.13725490196078433</v>
      </c>
      <c r="BD17" s="375">
        <f t="shared" si="18"/>
        <v>1.1000000000000001</v>
      </c>
      <c r="BE17" s="376">
        <f t="shared" si="19"/>
        <v>0.12290502793296089</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f t="shared" si="21"/>
        <v>1</v>
      </c>
      <c r="BM17" s="377">
        <f t="shared" si="22"/>
        <v>1</v>
      </c>
      <c r="BN17" s="378">
        <f t="shared" si="23"/>
        <v>1</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f t="shared" si="24"/>
        <v>0</v>
      </c>
    </row>
    <row r="18" spans="1:72" s="161" customFormat="1" ht="20" customHeight="1">
      <c r="A18" s="364" t="str">
        <f ca="1">IF(ISBLANK(IBRF!$B23),"",IBRF!$B23)</f>
        <v>80</v>
      </c>
      <c r="B18" s="247" t="str">
        <f ca="1">IF(ISBLANK(IBRF!$C23),"",IBRF!$C23)</f>
        <v>Mean Streak</v>
      </c>
      <c r="C18" s="248">
        <f ca="1">IF(A18="","",SUM(LU!O21,LU!O120))</f>
        <v>10</v>
      </c>
      <c r="D18" s="248">
        <f ca="1">IF(A18="","",SUM(LU!D21,LU!D120))</f>
        <v>0</v>
      </c>
      <c r="E18" s="249">
        <f ca="1">IF(A18="","",SUM(LU!J21,LU!J120))</f>
        <v>5</v>
      </c>
      <c r="F18" s="379">
        <f ca="1">IF(A18="","",(SUM(C18:E18)-(SUMPRODUCT(--(Lineups!C$4:C$79=A18),--(Lineups!A$4:A$79="SP"))+SUMPRODUCT(--(Lineups!F$4:F$79=A18),--(Lineups!A$4:A$79="SP"))+SUMPRODUCT(--(Lineups!C$88:C$163=A18),--(Lineups!A$88:A$163="SP"))+SUMPRODUCT(--(Lineups!F$88:F$163=A18),--(Lineups!A$88:A$163="SP")))))</f>
        <v>15</v>
      </c>
      <c r="G18" s="380">
        <f ca="1">IF(OR(A18="",F18=0,LU!D$3+LU!D$102=0),"",F18/(LU!D$3+LU!D$102))</f>
        <v>0.34090909090909088</v>
      </c>
      <c r="H18" s="365">
        <f ca="1">IF(OR(C18=0,A18=""),"",SK!D210)</f>
        <v>19</v>
      </c>
      <c r="I18" s="383">
        <f ca="1">IF(OR(A18="",SK!E210="",SK!E210=0),"",H18/SK!E210)</f>
        <v>1.9</v>
      </c>
      <c r="J18" s="250">
        <f ca="1">IF(OR(A18="",C18=0),"",SK!G210)</f>
        <v>0</v>
      </c>
      <c r="K18" s="366">
        <f ca="1">IF(OR(A18="",C18=0),"",SK!H210)</f>
        <v>5</v>
      </c>
      <c r="L18" s="251">
        <f ca="1">IF(OR(A18="",C18=0),"",SK!J210)</f>
        <v>5</v>
      </c>
      <c r="M18" s="251">
        <f ca="1">IF(OR(A18="",C18=0),"",SK!L210)</f>
        <v>0</v>
      </c>
      <c r="N18" s="367">
        <f t="shared" ca="1" si="1"/>
        <v>0.5</v>
      </c>
      <c r="O18" s="384">
        <f ca="1">IF(OR(A18="",C18=0),"",SK!I210)</f>
        <v>17</v>
      </c>
      <c r="P18" s="385">
        <f t="shared" ca="1" si="2"/>
        <v>3.4</v>
      </c>
      <c r="Q18" s="252">
        <f ca="1">IF(OR(A18="",F18=0),"",SUM(LU!Q67,LU!Q166))</f>
        <v>32</v>
      </c>
      <c r="R18" s="248">
        <f ca="1">IF(OR(A18="",F18=0),"",SUM(LU!Q90,LU!Q189))</f>
        <v>14</v>
      </c>
      <c r="S18" s="365">
        <f ca="1">IF(OR(A18="",F18=0),"",SUM(LU!Q44,LU!Q143))</f>
        <v>18</v>
      </c>
      <c r="T18" s="248">
        <f ca="1">IF(OR(A18="",C18=0),"",SUM(LU!O44,LU!O143))</f>
        <v>10</v>
      </c>
      <c r="U18" s="253">
        <f t="shared" ca="1" si="3"/>
        <v>1</v>
      </c>
      <c r="V18" s="254" t="str">
        <f ca="1">IF(OR(A18="",D18=0),"",SUM(LU!D44,LU!D143))</f>
        <v/>
      </c>
      <c r="W18" s="253" t="str">
        <f t="shared" si="4"/>
        <v/>
      </c>
      <c r="X18" s="254">
        <f ca="1">IF(OR(A18="",E18=0),"",SUM(LU!J44,LU!J143))</f>
        <v>8</v>
      </c>
      <c r="Y18" s="253">
        <f t="shared" ca="1" si="5"/>
        <v>1.6</v>
      </c>
      <c r="Z18" s="385">
        <f t="shared" ca="1" si="25"/>
        <v>1.2</v>
      </c>
      <c r="AA18" s="255">
        <f ca="1">IF(OR(A18="",F18=0,Q$26="-",LU!$D$5=0),"",Q18-Q$26)</f>
        <v>-18.714285714285715</v>
      </c>
      <c r="AB18" s="256">
        <f ca="1">IF(OR(A18="",F18=0,R$26="-",LU!$D$5=0),"",R18-R$26)</f>
        <v>-23.928571428571431</v>
      </c>
      <c r="AC18" s="368">
        <f t="shared" ca="1" si="6"/>
        <v>5.2142857142857153</v>
      </c>
      <c r="AD18" s="389">
        <f t="shared" ca="1" si="7"/>
        <v>-2.6098901098901006E-2</v>
      </c>
      <c r="AE18" s="389" t="str">
        <f t="shared" si="8"/>
        <v/>
      </c>
      <c r="AF18" s="390">
        <f t="shared" ca="1" si="9"/>
        <v>1.0682477244977244</v>
      </c>
      <c r="AG18" s="391">
        <f ca="1">IF(OR($A18="",Z18="",Z$26="-",LU!$D$5=0),"",Z18-Z$26)</f>
        <v>0.41250732111026234</v>
      </c>
      <c r="AH18" s="1099">
        <f ca="1">IF(OR(A18="",F18=0),"",SUM(PT!V27,PT!V28))</f>
        <v>0</v>
      </c>
      <c r="AI18" s="1100"/>
      <c r="AJ18" s="364" t="str">
        <f t="shared" si="10"/>
        <v>80</v>
      </c>
      <c r="AK18" s="257" t="str">
        <f t="shared" si="0"/>
        <v>Mean Streak</v>
      </c>
      <c r="AL18" s="258">
        <f ca="1">IF(OR($A18="",$F18=0),"",SUM(Actions!C87,Actions!J87))</f>
        <v>1</v>
      </c>
      <c r="AM18" s="259">
        <f ca="1">IF(OR($A18="",$F18=0),"",SUM(Actions!D87,Actions!K87))</f>
        <v>0</v>
      </c>
      <c r="AN18" s="259">
        <f ca="1">IF(OR($A18="",$F18=0),"",SUM(Actions!E87,Actions!L87))</f>
        <v>0</v>
      </c>
      <c r="AO18" s="259">
        <f ca="1">IF(OR($A18="",$F18=0),"",SUM(Actions!F87,Actions!M87))</f>
        <v>0</v>
      </c>
      <c r="AP18" s="259">
        <f ca="1">IF(OR($A18="",$F18=0),"",SUM(Actions!G87,Actions!N87))</f>
        <v>0</v>
      </c>
      <c r="AQ18" s="369">
        <f t="shared" si="11"/>
        <v>1</v>
      </c>
      <c r="AR18" s="252">
        <f ca="1">IF(OR($A18="",$F18=0),"",SUM(Actions!C17,Actions!J17))</f>
        <v>2</v>
      </c>
      <c r="AS18" s="248">
        <f ca="1">IF(OR($A18="",$F18=0),"",SUM(Actions!D17,Actions!K17))</f>
        <v>2</v>
      </c>
      <c r="AT18" s="248">
        <f ca="1">IF(OR($A18="",$F18=0),"",SUM(Actions!E17,Actions!L17))</f>
        <v>1</v>
      </c>
      <c r="AU18" s="248">
        <f ca="1">IF(OR($A18="",$F18=0),"",SUM(Actions!F17,Actions!M17))</f>
        <v>0</v>
      </c>
      <c r="AV18" s="248">
        <f ca="1">IF(OR($A18="",$F18=0),"",SUM(Actions!G17,Actions!N17))</f>
        <v>0</v>
      </c>
      <c r="AW18" s="365">
        <f t="shared" si="12"/>
        <v>5</v>
      </c>
      <c r="AX18" s="373">
        <f t="shared" si="26"/>
        <v>6</v>
      </c>
      <c r="AY18" s="374">
        <f t="shared" si="13"/>
        <v>0</v>
      </c>
      <c r="AZ18" s="370">
        <f t="shared" si="14"/>
        <v>6.6666666666666666E-2</v>
      </c>
      <c r="BA18" s="260">
        <f t="shared" si="15"/>
        <v>3.8461538461538464E-2</v>
      </c>
      <c r="BB18" s="368">
        <f t="shared" si="16"/>
        <v>0.33333333333333331</v>
      </c>
      <c r="BC18" s="261">
        <f t="shared" si="17"/>
        <v>3.2679738562091505E-2</v>
      </c>
      <c r="BD18" s="375">
        <f t="shared" si="18"/>
        <v>0.4</v>
      </c>
      <c r="BE18" s="376">
        <f t="shared" si="19"/>
        <v>3.3519553072625698E-2</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f t="shared" si="21"/>
        <v>1</v>
      </c>
      <c r="BM18" s="377">
        <f t="shared" si="22"/>
        <v>1</v>
      </c>
      <c r="BN18" s="378">
        <f t="shared" si="23"/>
        <v>1</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699" t="str">
        <f ca="1">IF(ISBLANK(IBRF!$B24),"",IBRF!$B24)</f>
        <v>9.99</v>
      </c>
      <c r="B19" s="700" t="str">
        <f ca="1">IF(ISBLANK(IBRF!$C24),"",IBRF!$C24)</f>
        <v>U.S.S. DentHerPrize</v>
      </c>
      <c r="C19" s="248">
        <f ca="1">IF(A19="","",SUM(LU!O22,LU!O121))</f>
        <v>0</v>
      </c>
      <c r="D19" s="248">
        <f ca="1">IF(A19="","",SUM(LU!D22,LU!D121))</f>
        <v>0</v>
      </c>
      <c r="E19" s="249">
        <f ca="1">IF(A19="","",SUM(LU!J22,LU!J121))</f>
        <v>0</v>
      </c>
      <c r="F19" s="379">
        <f ca="1">IF(A19="","",(SUM(C19:E19)-(SUMPRODUCT(--(Lineups!C$4:C$79=A19),--(Lineups!A$4:A$79="SP"))+SUMPRODUCT(--(Lineups!F$4:F$79=A19),--(Lineups!A$4:A$79="SP"))+SUMPRODUCT(--(Lineups!C$88:C$163=A19),--(Lineups!A$88:A$163="SP"))+SUMPRODUCT(--(Lineups!F$88:F$163=A19),--(Lineups!A$88:A$163="SP")))))</f>
        <v>0</v>
      </c>
      <c r="G19" s="380" t="str">
        <f ca="1">IF(OR(A19="",F19=0,LU!D$3+LU!D$102=0),"",F19/(LU!D$3+LU!D$102))</f>
        <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t="str">
        <f ca="1">IF(OR(A19="",F19=0),"",SUM(LU!Q68,LU!Q167))</f>
        <v/>
      </c>
      <c r="R19" s="248" t="str">
        <f ca="1">IF(OR(A19="",F19=0),"",SUM(LU!Q91,LU!Q190))</f>
        <v/>
      </c>
      <c r="S19" s="365" t="str">
        <f ca="1">IF(OR(A19="",F19=0),"",SUM(LU!Q45,LU!Q144))</f>
        <v/>
      </c>
      <c r="T19" s="248" t="str">
        <f ca="1">IF(OR(A19="",C19=0),"",SUM(LU!O45,LU!O144))</f>
        <v/>
      </c>
      <c r="U19" s="253" t="str">
        <f t="shared" si="3"/>
        <v/>
      </c>
      <c r="V19" s="254" t="str">
        <f ca="1">IF(OR(A19="",D19=0),"",SUM(LU!D45,LU!D144))</f>
        <v/>
      </c>
      <c r="W19" s="253" t="str">
        <f t="shared" si="4"/>
        <v/>
      </c>
      <c r="X19" s="254" t="str">
        <f ca="1">IF(OR(A19="",E19=0),"",SUM(LU!J45,LU!J144))</f>
        <v/>
      </c>
      <c r="Y19" s="253" t="str">
        <f t="shared" si="5"/>
        <v/>
      </c>
      <c r="Z19" s="385" t="str">
        <f t="shared" si="25"/>
        <v/>
      </c>
      <c r="AA19" s="255" t="str">
        <f ca="1">IF(OR(A19="",F19=0,Q$26="-",LU!$D$5=0),"",Q19-Q$26)</f>
        <v/>
      </c>
      <c r="AB19" s="256" t="str">
        <f ca="1">IF(OR(A19="",F19=0,R$26="-",LU!$D$5=0),"",R19-R$26)</f>
        <v/>
      </c>
      <c r="AC19" s="368" t="str">
        <f t="shared" ca="1" si="6"/>
        <v/>
      </c>
      <c r="AD19" s="389" t="str">
        <f t="shared" si="7"/>
        <v/>
      </c>
      <c r="AE19" s="389" t="str">
        <f t="shared" si="8"/>
        <v/>
      </c>
      <c r="AF19" s="390" t="str">
        <f t="shared" si="9"/>
        <v/>
      </c>
      <c r="AG19" s="391" t="str">
        <f ca="1">IF(OR($A19="",Z19="",Z$26="-",LU!$D$5=0),"",Z19-Z$26)</f>
        <v/>
      </c>
      <c r="AH19" s="1099" t="str">
        <f ca="1">IF(OR(A19="",F19=0),"",SUM(PT!V29,PT!V30))</f>
        <v/>
      </c>
      <c r="AI19" s="1100"/>
      <c r="AJ19" s="699" t="str">
        <f t="shared" si="10"/>
        <v>9.99</v>
      </c>
      <c r="AK19" s="701" t="str">
        <f t="shared" si="0"/>
        <v>U.S.S. DentHerPrize</v>
      </c>
      <c r="AL19" s="258" t="str">
        <f ca="1">IF(OR($A19="",$F19=0),"",SUM(Actions!C88,Actions!J88))</f>
        <v/>
      </c>
      <c r="AM19" s="259" t="str">
        <f ca="1">IF(OR($A19="",$F19=0),"",SUM(Actions!D88,Actions!K88))</f>
        <v/>
      </c>
      <c r="AN19" s="259" t="str">
        <f ca="1">IF(OR($A19="",$F19=0),"",SUM(Actions!E88,Actions!L88))</f>
        <v/>
      </c>
      <c r="AO19" s="259" t="str">
        <f ca="1">IF(OR($A19="",$F19=0),"",SUM(Actions!F88,Actions!M88))</f>
        <v/>
      </c>
      <c r="AP19" s="259" t="str">
        <f ca="1">IF(OR($A19="",$F19=0),"",SUM(Actions!G88,Actions!N88))</f>
        <v/>
      </c>
      <c r="AQ19" s="369" t="str">
        <f t="shared" si="11"/>
        <v/>
      </c>
      <c r="AR19" s="252" t="str">
        <f ca="1">IF(OR($A19="",$F19=0),"",SUM(Actions!C18,Actions!J18))</f>
        <v/>
      </c>
      <c r="AS19" s="248" t="str">
        <f ca="1">IF(OR($A19="",$F19=0),"",SUM(Actions!D18,Actions!K18))</f>
        <v/>
      </c>
      <c r="AT19" s="248" t="str">
        <f ca="1">IF(OR($A19="",$F19=0),"",SUM(Actions!E18,Actions!L18))</f>
        <v/>
      </c>
      <c r="AU19" s="248" t="str">
        <f ca="1">IF(OR($A19="",$F19=0),"",SUM(Actions!F18,Actions!M18))</f>
        <v/>
      </c>
      <c r="AV19" s="248" t="str">
        <f ca="1">IF(OR($A19="",$F19=0),"",SUM(Actions!G18,Actions!N18))</f>
        <v/>
      </c>
      <c r="AW19" s="365" t="str">
        <f t="shared" si="12"/>
        <v/>
      </c>
      <c r="AX19" s="373" t="str">
        <f t="shared" si="26"/>
        <v/>
      </c>
      <c r="AY19" s="374" t="str">
        <f t="shared" si="13"/>
        <v/>
      </c>
      <c r="AZ19" s="370" t="str">
        <f t="shared" si="14"/>
        <v/>
      </c>
      <c r="BA19" s="260" t="str">
        <f t="shared" si="15"/>
        <v/>
      </c>
      <c r="BB19" s="368" t="str">
        <f t="shared" si="16"/>
        <v/>
      </c>
      <c r="BC19" s="261" t="str">
        <f t="shared" si="17"/>
        <v/>
      </c>
      <c r="BD19" s="375" t="str">
        <f t="shared" si="18"/>
        <v/>
      </c>
      <c r="BE19" s="376" t="str">
        <f t="shared" si="19"/>
        <v/>
      </c>
      <c r="BF19" s="262" t="str">
        <f ca="1">IF(OR($A19="",$F19=0),"",SUM(Errors!C18,Errors!J18))</f>
        <v/>
      </c>
      <c r="BG19" s="248" t="str">
        <f ca="1">IF(OR($A19="",$F19=0),"",SUM(Errors!D18,Errors!K18))</f>
        <v/>
      </c>
      <c r="BH19" s="248" t="str">
        <f ca="1">IF(OR($A19="",$F19=0),"",SUM(Errors!E18,Errors!L18))</f>
        <v/>
      </c>
      <c r="BI19" s="248" t="str">
        <f ca="1">IF(OR($A19="",$F19=0),"",SUM(Errors!F18,Errors!M18))</f>
        <v/>
      </c>
      <c r="BJ19" s="263" t="str">
        <f ca="1">IF(OR($A19="",$F19=0),"",SUM(Errors!G18,Errors!N18))</f>
        <v/>
      </c>
      <c r="BK19" s="365" t="str">
        <f t="shared" si="20"/>
        <v/>
      </c>
      <c r="BL19" s="377" t="str">
        <f t="shared" si="21"/>
        <v/>
      </c>
      <c r="BM19" s="377" t="str">
        <f t="shared" si="22"/>
        <v/>
      </c>
      <c r="BN19" s="378" t="str">
        <f t="shared" si="23"/>
        <v/>
      </c>
      <c r="BO19" s="258" t="str">
        <f ca="1">IF(OR($A19="",$F19=0),"",SUM(Errors!C88,Errors!J88))</f>
        <v/>
      </c>
      <c r="BP19" s="259" t="str">
        <f ca="1">IF(OR($A19="",$F19=0),"",SUM(Errors!D88,Errors!K88))</f>
        <v/>
      </c>
      <c r="BQ19" s="259" t="str">
        <f ca="1">IF(OR($A19="",$F19=0),"",SUM(Errors!E88,Errors!L88))</f>
        <v/>
      </c>
      <c r="BR19" s="259" t="str">
        <f ca="1">IF(OR($A19="",$F19=0),"",SUM(Errors!F88,Errors!M88))</f>
        <v/>
      </c>
      <c r="BS19" s="259" t="str">
        <f ca="1">IF(OR($A19="",$F19=0),"",SUM(Errors!G88,Errors!N88))</f>
        <v/>
      </c>
      <c r="BT19" s="371" t="str">
        <f t="shared" si="24"/>
        <v/>
      </c>
    </row>
    <row r="20" spans="1:72" s="161" customFormat="1" ht="20" customHeight="1">
      <c r="A20" s="364" t="str">
        <f ca="1">IF(ISBLANK(IBRF!$B25),"",IBRF!$B25)</f>
        <v>F14</v>
      </c>
      <c r="B20" s="247" t="str">
        <f ca="1">IF(ISBLANK(IBRF!$C25),"",IBRF!$C25)</f>
        <v>Apertorture</v>
      </c>
      <c r="C20" s="248">
        <f ca="1">IF(A20="","",SUM(LU!O23,LU!O122))</f>
        <v>0</v>
      </c>
      <c r="D20" s="248">
        <f ca="1">IF(A20="","",SUM(LU!D23,LU!D122))</f>
        <v>0</v>
      </c>
      <c r="E20" s="249">
        <f ca="1">IF(A20="","",SUM(LU!J23,LU!J122))</f>
        <v>8</v>
      </c>
      <c r="F20" s="379">
        <f ca="1">IF(A20="","",(SUM(C20:E20)-(SUMPRODUCT(--(Lineups!C$4:C$79=A20),--(Lineups!A$4:A$79="SP"))+SUMPRODUCT(--(Lineups!F$4:F$79=A20),--(Lineups!A$4:A$79="SP"))+SUMPRODUCT(--(Lineups!C$88:C$163=A20),--(Lineups!A$88:A$163="SP"))+SUMPRODUCT(--(Lineups!F$88:F$163=A20),--(Lineups!A$88:A$163="SP")))))</f>
        <v>8</v>
      </c>
      <c r="G20" s="380">
        <f ca="1">IF(OR(A20="",F20=0,LU!D$3+LU!D$102=0),"",F20/(LU!D$3+LU!D$102))</f>
        <v>0.18181818181818182</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f ca="1">IF(OR(A20="",F20=0),"",SUM(LU!Q69,LU!Q168))</f>
        <v>51</v>
      </c>
      <c r="R20" s="248">
        <f ca="1">IF(OR(A20="",F20=0),"",SUM(LU!Q92,LU!Q191))</f>
        <v>20</v>
      </c>
      <c r="S20" s="365">
        <f ca="1">IF(OR(A20="",F20=0),"",SUM(LU!Q46,LU!Q145))</f>
        <v>31</v>
      </c>
      <c r="T20" s="248" t="str">
        <f ca="1">IF(OR(A20="",C20=0),"",SUM(LU!O46,LU!O145))</f>
        <v/>
      </c>
      <c r="U20" s="253" t="str">
        <f t="shared" si="3"/>
        <v/>
      </c>
      <c r="V20" s="254" t="str">
        <f ca="1">IF(OR(A20="",D20=0),"",SUM(LU!D46,LU!D145))</f>
        <v/>
      </c>
      <c r="W20" s="253" t="str">
        <f t="shared" si="4"/>
        <v/>
      </c>
      <c r="X20" s="254">
        <f ca="1">IF(OR(A20="",E20=0),"",SUM(LU!J46,LU!J145))</f>
        <v>31</v>
      </c>
      <c r="Y20" s="253">
        <f t="shared" ca="1" si="5"/>
        <v>3.875</v>
      </c>
      <c r="Z20" s="385">
        <f t="shared" ca="1" si="25"/>
        <v>3.875</v>
      </c>
      <c r="AA20" s="255">
        <f ca="1">IF(OR(A20="",F20=0,Q$26="-",LU!$D$5=0),"",Q20-Q$26)</f>
        <v>0.2857142857142847</v>
      </c>
      <c r="AB20" s="256">
        <f ca="1">IF(OR(A20="",F20=0,R$26="-",LU!$D$5=0),"",R20-R$26)</f>
        <v>-17.928571428571431</v>
      </c>
      <c r="AC20" s="368">
        <f t="shared" ca="1" si="6"/>
        <v>18.214285714285715</v>
      </c>
      <c r="AD20" s="389" t="str">
        <f t="shared" si="7"/>
        <v/>
      </c>
      <c r="AE20" s="389" t="str">
        <f t="shared" si="8"/>
        <v/>
      </c>
      <c r="AF20" s="390">
        <f t="shared" ca="1" si="9"/>
        <v>3.3432477244977243</v>
      </c>
      <c r="AG20" s="391">
        <f ca="1">IF(OR($A20="",Z20="",Z$26="-",LU!$D$5=0),"",Z20-Z$26)</f>
        <v>3.0875073211102624</v>
      </c>
      <c r="AH20" s="1099">
        <f ca="1">IF(OR(A20="",F20=0),"",SUM(PT!V31,PT!V32))</f>
        <v>0</v>
      </c>
      <c r="AI20" s="1100"/>
      <c r="AJ20" s="364" t="str">
        <f t="shared" si="10"/>
        <v>F14</v>
      </c>
      <c r="AK20" s="257" t="str">
        <f t="shared" si="0"/>
        <v>Apertorture</v>
      </c>
      <c r="AL20" s="258">
        <f ca="1">IF(OR($A20="",$F20=0),"",SUM(Actions!C89,Actions!J89))</f>
        <v>0</v>
      </c>
      <c r="AM20" s="259">
        <f ca="1">IF(OR($A20="",$F20=0),"",SUM(Actions!D89,Actions!K89))</f>
        <v>0</v>
      </c>
      <c r="AN20" s="259">
        <f ca="1">IF(OR($A20="",$F20=0),"",SUM(Actions!E89,Actions!L89))</f>
        <v>0</v>
      </c>
      <c r="AO20" s="259">
        <f ca="1">IF(OR($A20="",$F20=0),"",SUM(Actions!F89,Actions!M89))</f>
        <v>0</v>
      </c>
      <c r="AP20" s="259">
        <f ca="1">IF(OR($A20="",$F20=0),"",SUM(Actions!G89,Actions!N89))</f>
        <v>0</v>
      </c>
      <c r="AQ20" s="369">
        <f t="shared" si="11"/>
        <v>0</v>
      </c>
      <c r="AR20" s="252">
        <f ca="1">IF(OR($A20="",$F20=0),"",SUM(Actions!C19,Actions!J19))</f>
        <v>0</v>
      </c>
      <c r="AS20" s="248">
        <f ca="1">IF(OR($A20="",$F20=0),"",SUM(Actions!D19,Actions!K19))</f>
        <v>0</v>
      </c>
      <c r="AT20" s="248">
        <f ca="1">IF(OR($A20="",$F20=0),"",SUM(Actions!E19,Actions!L19))</f>
        <v>1</v>
      </c>
      <c r="AU20" s="248">
        <f ca="1">IF(OR($A20="",$F20=0),"",SUM(Actions!F19,Actions!M19))</f>
        <v>0</v>
      </c>
      <c r="AV20" s="248">
        <f ca="1">IF(OR($A20="",$F20=0),"",SUM(Actions!G19,Actions!N19))</f>
        <v>0</v>
      </c>
      <c r="AW20" s="365">
        <f t="shared" si="12"/>
        <v>1</v>
      </c>
      <c r="AX20" s="373">
        <f t="shared" si="26"/>
        <v>1</v>
      </c>
      <c r="AY20" s="374">
        <f t="shared" si="13"/>
        <v>0</v>
      </c>
      <c r="AZ20" s="370">
        <f t="shared" si="14"/>
        <v>0</v>
      </c>
      <c r="BA20" s="260">
        <f t="shared" si="15"/>
        <v>0</v>
      </c>
      <c r="BB20" s="368">
        <f t="shared" si="16"/>
        <v>0.125</v>
      </c>
      <c r="BC20" s="261">
        <f t="shared" si="17"/>
        <v>6.5359477124183009E-3</v>
      </c>
      <c r="BD20" s="375">
        <f t="shared" si="18"/>
        <v>0.125</v>
      </c>
      <c r="BE20" s="376">
        <f t="shared" si="19"/>
        <v>5.5865921787709499E-3</v>
      </c>
      <c r="BF20" s="262">
        <f ca="1">IF(OR($A20="",$F20=0),"",SUM(Errors!C19,Errors!J19))</f>
        <v>0</v>
      </c>
      <c r="BG20" s="248">
        <f ca="1">IF(OR($A20="",$F20=0),"",SUM(Errors!D19,Errors!K19))</f>
        <v>0</v>
      </c>
      <c r="BH20" s="248">
        <f ca="1">IF(OR($A20="",$F20=0),"",SUM(Errors!E19,Errors!L19))</f>
        <v>0</v>
      </c>
      <c r="BI20" s="248">
        <f ca="1">IF(OR($A20="",$F20=0),"",SUM(Errors!F19,Errors!M19))</f>
        <v>0</v>
      </c>
      <c r="BJ20" s="263">
        <f ca="1">IF(OR($A20="",$F20=0),"",SUM(Errors!G19,Errors!N19))</f>
        <v>0</v>
      </c>
      <c r="BK20" s="365">
        <f t="shared" si="20"/>
        <v>0</v>
      </c>
      <c r="BL20" s="377">
        <f t="shared" si="21"/>
        <v>1</v>
      </c>
      <c r="BM20" s="377">
        <f t="shared" si="22"/>
        <v>1</v>
      </c>
      <c r="BN20" s="378" t="str">
        <f t="shared" si="23"/>
        <v/>
      </c>
      <c r="BO20" s="258">
        <f ca="1">IF(OR($A20="",$F20=0),"",SUM(Errors!C89,Errors!J89))</f>
        <v>0</v>
      </c>
      <c r="BP20" s="259">
        <f ca="1">IF(OR($A20="",$F20=0),"",SUM(Errors!D89,Errors!K89))</f>
        <v>0</v>
      </c>
      <c r="BQ20" s="259">
        <f ca="1">IF(OR($A20="",$F20=0),"",SUM(Errors!E89,Errors!L89))</f>
        <v>0</v>
      </c>
      <c r="BR20" s="259">
        <f ca="1">IF(OR($A20="",$F20=0),"",SUM(Errors!F89,Errors!M89))</f>
        <v>0</v>
      </c>
      <c r="BS20" s="259">
        <f ca="1">IF(OR($A20="",$F20=0),"",SUM(Errors!G89,Errors!N89))</f>
        <v>0</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99" t="str">
        <f ca="1">IF(OR(A21="",F21=0),"",SUM(PT!V33,PT!V34))</f>
        <v/>
      </c>
      <c r="AI21" s="1100"/>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99" t="str">
        <f ca="1">IF(OR(A22="",F22=0),"",SUM(PT!V35,PT!V36))</f>
        <v/>
      </c>
      <c r="AI22" s="1100"/>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99" t="str">
        <f ca="1">IF(OR(A23="",F23=0),"",SUM(PT!V37,PT!V38))</f>
        <v/>
      </c>
      <c r="AI23" s="1100"/>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99" t="str">
        <f ca="1">IF(OR(A24="",F24=0),"",SUM(PT!V39,PT!V40))</f>
        <v/>
      </c>
      <c r="AI24" s="1100"/>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101" t="str">
        <f ca="1">IF(OR(A25="",F25=0),"",SUM(PT!V41,PT!V42))</f>
        <v/>
      </c>
      <c r="AI25" s="1102"/>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116" t="s">
        <v>175</v>
      </c>
      <c r="B26" s="1116"/>
      <c r="C26" s="427">
        <f ca="1">SUM(C6:C25)</f>
        <v>44</v>
      </c>
      <c r="D26" s="427">
        <f ca="1">SUM(D6:D25)</f>
        <v>43</v>
      </c>
      <c r="E26" s="427">
        <f ca="1">SUM(E6:E25)</f>
        <v>132</v>
      </c>
      <c r="F26" s="427">
        <f ca="1">SUM(F6:F25)</f>
        <v>219</v>
      </c>
      <c r="G26" s="428">
        <f ca="1">IF(COUNT(G6:G25)=0,"-",SUM(G6:G25)/COUNT(G6:G25))</f>
        <v>0.35551948051948046</v>
      </c>
      <c r="H26" s="427">
        <f ca="1">SUM(H6:H25)</f>
        <v>142</v>
      </c>
      <c r="I26" s="429">
        <f ca="1">IF(LU!D3+LU!D102=0,"-",H26/(LU!D3+LU!D102))</f>
        <v>3.2272727272727271</v>
      </c>
      <c r="J26" s="430">
        <f ca="1">SUM(J6:J25)</f>
        <v>4</v>
      </c>
      <c r="K26" s="427">
        <f ca="1">SUM(K6:K25)</f>
        <v>23</v>
      </c>
      <c r="L26" s="427">
        <f ca="1">SUM(L6:L25)</f>
        <v>19</v>
      </c>
      <c r="M26" s="427">
        <f ca="1">SUM(M6:M25)</f>
        <v>0</v>
      </c>
      <c r="N26" s="431">
        <f ca="1">IF(C26=0,"-",K26/C26)</f>
        <v>0.52272727272727271</v>
      </c>
      <c r="O26" s="427">
        <f ca="1">SUM(O6:O25)</f>
        <v>81</v>
      </c>
      <c r="P26" s="432">
        <f t="shared" ref="P26:Z26" ca="1" si="27">IF(COUNT(P6:P25)=0,"-",SUM(P6:P25)/COUNT(P6:P25))</f>
        <v>3.7366666666666668</v>
      </c>
      <c r="Q26" s="433">
        <f t="shared" ca="1" si="27"/>
        <v>50.714285714285715</v>
      </c>
      <c r="R26" s="434">
        <f t="shared" ca="1" si="27"/>
        <v>37.928571428571431</v>
      </c>
      <c r="S26" s="435">
        <f t="shared" ca="1" si="27"/>
        <v>12.785714285714286</v>
      </c>
      <c r="T26" s="435">
        <f t="shared" ca="1" si="27"/>
        <v>7</v>
      </c>
      <c r="U26" s="435">
        <f t="shared" ca="1" si="27"/>
        <v>1.026098901098901</v>
      </c>
      <c r="V26" s="435">
        <f t="shared" ca="1" si="27"/>
        <v>9.5</v>
      </c>
      <c r="W26" s="435">
        <f t="shared" ca="1" si="27"/>
        <v>1.2816558441558441</v>
      </c>
      <c r="X26" s="435">
        <f t="shared" ca="1" si="27"/>
        <v>8.8333333333333339</v>
      </c>
      <c r="Y26" s="435">
        <f t="shared" ca="1" si="27"/>
        <v>0.53175227550227555</v>
      </c>
      <c r="Z26" s="435">
        <f t="shared" ca="1" si="27"/>
        <v>0.78749267888973762</v>
      </c>
      <c r="AA26" s="436" t="s">
        <v>176</v>
      </c>
      <c r="AB26" s="437" t="s">
        <v>176</v>
      </c>
      <c r="AC26" s="437" t="s">
        <v>176</v>
      </c>
      <c r="AD26" s="436" t="s">
        <v>176</v>
      </c>
      <c r="AE26" s="437" t="s">
        <v>176</v>
      </c>
      <c r="AF26" s="437" t="s">
        <v>176</v>
      </c>
      <c r="AG26" s="438" t="s">
        <v>176</v>
      </c>
      <c r="AH26" s="1097">
        <f ca="1">SUM(AH6:AI25)</f>
        <v>13</v>
      </c>
      <c r="AI26" s="1098"/>
      <c r="AJ26" s="1116" t="s">
        <v>175</v>
      </c>
      <c r="AK26" s="1116"/>
      <c r="AL26" s="430">
        <f t="shared" ref="AL26:AY26" si="28">SUM(AL6:AL25)</f>
        <v>20</v>
      </c>
      <c r="AM26" s="427">
        <f t="shared" si="28"/>
        <v>1</v>
      </c>
      <c r="AN26" s="427">
        <f t="shared" si="28"/>
        <v>2</v>
      </c>
      <c r="AO26" s="427">
        <f t="shared" si="28"/>
        <v>2</v>
      </c>
      <c r="AP26" s="427">
        <f t="shared" si="28"/>
        <v>1</v>
      </c>
      <c r="AQ26" s="439">
        <f t="shared" si="28"/>
        <v>26</v>
      </c>
      <c r="AR26" s="440">
        <f t="shared" si="28"/>
        <v>46</v>
      </c>
      <c r="AS26" s="427">
        <f t="shared" si="28"/>
        <v>31</v>
      </c>
      <c r="AT26" s="427">
        <f t="shared" si="28"/>
        <v>45</v>
      </c>
      <c r="AU26" s="427">
        <f t="shared" si="28"/>
        <v>22</v>
      </c>
      <c r="AV26" s="427">
        <f t="shared" si="28"/>
        <v>9</v>
      </c>
      <c r="AW26" s="427">
        <f t="shared" si="28"/>
        <v>153</v>
      </c>
      <c r="AX26" s="427">
        <f t="shared" si="28"/>
        <v>179</v>
      </c>
      <c r="AY26" s="439">
        <f t="shared" si="28"/>
        <v>23</v>
      </c>
      <c r="AZ26" s="441">
        <f>IF(F26=0,"-",AQ26/F26)</f>
        <v>0.11872146118721461</v>
      </c>
      <c r="BA26" s="442">
        <f>IF(COUNT(BA6:BA25)=0,"-",SUM(BA6:BA25)/COUNT(BA6:BA25))</f>
        <v>7.1428571428571425E-2</v>
      </c>
      <c r="BB26" s="443">
        <f>IF(F26=0,"-",AW26/F26)</f>
        <v>0.69863013698630139</v>
      </c>
      <c r="BC26" s="442">
        <f>IF(COUNT(BC6:BC25)=0,"-",SUM(BC6:BC25)/COUNT(BC6:BC25))</f>
        <v>7.1428571428571425E-2</v>
      </c>
      <c r="BD26" s="443">
        <f>IF(F26=0,"-",AX26/F26)</f>
        <v>0.81735159817351599</v>
      </c>
      <c r="BE26" s="442">
        <f>IF(COUNT(BE6:BE25)=0,"-",SUM(BE6:BE25)/COUNT(BE6:BE25))</f>
        <v>7.1428571428571425E-2</v>
      </c>
      <c r="BF26" s="433">
        <f t="shared" ref="BF26:BK26" si="29">SUM(BF6:BF25)</f>
        <v>0</v>
      </c>
      <c r="BG26" s="427">
        <f t="shared" si="29"/>
        <v>0</v>
      </c>
      <c r="BH26" s="427">
        <f t="shared" si="29"/>
        <v>0</v>
      </c>
      <c r="BI26" s="427">
        <f t="shared" si="29"/>
        <v>0</v>
      </c>
      <c r="BJ26" s="427">
        <f t="shared" si="29"/>
        <v>0</v>
      </c>
      <c r="BK26" s="427">
        <f t="shared" si="29"/>
        <v>0</v>
      </c>
      <c r="BL26" s="431">
        <f>IF(SUM(AT26,AU26,BH26,BG26)=0,"-",SUM(AT26,AU26,BH26)/SUM(AT26,AU26,BH26,BG26))</f>
        <v>1</v>
      </c>
      <c r="BM26" s="431">
        <f>IF(SUM(AT26,AU26,BG26,BH26)=0,"-",SUM(AT26,AU26)/SUM(AT26,AU26,BG26,BH26))</f>
        <v>1</v>
      </c>
      <c r="BN26" s="444">
        <f>IF(SUM(AR26:AS26,BF26,BJ26)=0,"-",SUM(AR26,AS26)/(SUM(AR26,AS26,BF26,BJ26)))</f>
        <v>1</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524</v>
      </c>
      <c r="B27" s="409" t="str">
        <f ca="1">Score!$T$1</f>
        <v>Pistolwhippers</v>
      </c>
      <c r="C27" s="410" t="s">
        <v>416</v>
      </c>
      <c r="D27" s="411" t="s">
        <v>417</v>
      </c>
      <c r="E27" s="411" t="s">
        <v>418</v>
      </c>
      <c r="F27" s="216" t="s">
        <v>419</v>
      </c>
      <c r="G27" s="217" t="s">
        <v>420</v>
      </c>
      <c r="H27" s="218" t="s">
        <v>301</v>
      </c>
      <c r="I27" s="219" t="s">
        <v>421</v>
      </c>
      <c r="J27" s="412" t="s">
        <v>395</v>
      </c>
      <c r="K27" s="413" t="s">
        <v>396</v>
      </c>
      <c r="L27" s="413" t="s">
        <v>422</v>
      </c>
      <c r="M27" s="413" t="s">
        <v>423</v>
      </c>
      <c r="N27" s="413" t="s">
        <v>424</v>
      </c>
      <c r="O27" s="413" t="s">
        <v>425</v>
      </c>
      <c r="P27" s="414" t="s">
        <v>481</v>
      </c>
      <c r="Q27" s="410" t="s">
        <v>482</v>
      </c>
      <c r="R27" s="413" t="s">
        <v>483</v>
      </c>
      <c r="S27" s="218" t="s">
        <v>484</v>
      </c>
      <c r="T27" s="410" t="s">
        <v>485</v>
      </c>
      <c r="U27" s="415" t="s">
        <v>486</v>
      </c>
      <c r="V27" s="416" t="s">
        <v>487</v>
      </c>
      <c r="W27" s="417" t="s">
        <v>488</v>
      </c>
      <c r="X27" s="418" t="s">
        <v>489</v>
      </c>
      <c r="Y27" s="417" t="s">
        <v>322</v>
      </c>
      <c r="Z27" s="220" t="s">
        <v>323</v>
      </c>
      <c r="AA27" s="419" t="s">
        <v>324</v>
      </c>
      <c r="AB27" s="419" t="s">
        <v>325</v>
      </c>
      <c r="AC27" s="221" t="s">
        <v>432</v>
      </c>
      <c r="AD27" s="420" t="s">
        <v>431</v>
      </c>
      <c r="AE27" s="420" t="s">
        <v>319</v>
      </c>
      <c r="AF27" s="420" t="s">
        <v>320</v>
      </c>
      <c r="AG27" s="222" t="s">
        <v>177</v>
      </c>
      <c r="AH27" s="1105" t="s">
        <v>525</v>
      </c>
      <c r="AI27" s="1106"/>
      <c r="AJ27" s="421" t="s">
        <v>524</v>
      </c>
      <c r="AK27" s="422" t="str">
        <f t="shared" ref="AK27:AK47" si="31">B27</f>
        <v>Pistolwhippers</v>
      </c>
      <c r="AL27" s="412" t="s">
        <v>135</v>
      </c>
      <c r="AM27" s="413" t="s">
        <v>136</v>
      </c>
      <c r="AN27" s="413" t="s">
        <v>137</v>
      </c>
      <c r="AO27" s="413" t="s">
        <v>138</v>
      </c>
      <c r="AP27" s="413" t="s">
        <v>139</v>
      </c>
      <c r="AQ27" s="423" t="s">
        <v>140</v>
      </c>
      <c r="AR27" s="412" t="s">
        <v>141</v>
      </c>
      <c r="AS27" s="413" t="s">
        <v>142</v>
      </c>
      <c r="AT27" s="413" t="s">
        <v>143</v>
      </c>
      <c r="AU27" s="413" t="s">
        <v>178</v>
      </c>
      <c r="AV27" s="413" t="s">
        <v>145</v>
      </c>
      <c r="AW27" s="413" t="s">
        <v>146</v>
      </c>
      <c r="AX27" s="223" t="s">
        <v>419</v>
      </c>
      <c r="AY27" s="224" t="s">
        <v>155</v>
      </c>
      <c r="AZ27" s="424" t="s">
        <v>179</v>
      </c>
      <c r="BA27" s="425" t="s">
        <v>157</v>
      </c>
      <c r="BB27" s="426" t="s">
        <v>158</v>
      </c>
      <c r="BC27" s="425" t="s">
        <v>159</v>
      </c>
      <c r="BD27" s="225" t="s">
        <v>160</v>
      </c>
      <c r="BE27" s="226" t="s">
        <v>161</v>
      </c>
      <c r="BF27" s="412" t="s">
        <v>162</v>
      </c>
      <c r="BG27" s="413" t="s">
        <v>163</v>
      </c>
      <c r="BH27" s="413" t="s">
        <v>164</v>
      </c>
      <c r="BI27" s="413" t="s">
        <v>165</v>
      </c>
      <c r="BJ27" s="411" t="s">
        <v>180</v>
      </c>
      <c r="BK27" s="223" t="s">
        <v>419</v>
      </c>
      <c r="BL27" s="227" t="s">
        <v>167</v>
      </c>
      <c r="BM27" s="228" t="s">
        <v>168</v>
      </c>
      <c r="BN27" s="229" t="s">
        <v>169</v>
      </c>
      <c r="BO27" s="518" t="s">
        <v>170</v>
      </c>
      <c r="BP27" s="519" t="s">
        <v>171</v>
      </c>
      <c r="BQ27" s="519" t="s">
        <v>172</v>
      </c>
      <c r="BR27" s="519" t="s">
        <v>173</v>
      </c>
      <c r="BS27" s="519" t="s">
        <v>174</v>
      </c>
      <c r="BT27" s="230" t="s">
        <v>419</v>
      </c>
    </row>
    <row r="28" spans="1:72" s="161" customFormat="1" ht="20" customHeight="1">
      <c r="A28" s="363" t="str">
        <f ca="1">IF(ISBLANK(IBRF!$H11),"",IBRF!$H11)</f>
        <v>182</v>
      </c>
      <c r="B28" s="231" t="str">
        <f ca="1">IF(ISBLANK(IBRF!$I11),"",IBRF!$I11)</f>
        <v>Travis Blocker</v>
      </c>
      <c r="C28" s="232">
        <f ca="1">IF(A28="","",SUM(LU!AH9,LU!AH108))</f>
        <v>0</v>
      </c>
      <c r="D28" s="232">
        <f ca="1">IF(A28="","",SUM(LU!W9,LU!W108))</f>
        <v>0</v>
      </c>
      <c r="E28" s="232">
        <f ca="1">IF(A28="","",SUM(LU!AC9,LU!AC108))</f>
        <v>9</v>
      </c>
      <c r="F28" s="392">
        <f ca="1">IF(A28="","",(SUM(C28:E28)-(SUMPRODUCT(--(Lineups!Y$4:Y$79=A28),--(Lineups!W$4:W$79="SP"))+SUMPRODUCT(--(Lineups!AB$4:AB$79=A28),--(Lineups!W$4:W$79="SP"))+SUMPRODUCT(--(Lineups!Y$88:Y$163=A28),--(Lineups!W$88:W$163="SP"))+SUMPRODUCT(--(Lineups!AB$88:AB$163=A28),--(Lineups!W$88:W$163="SP")))))</f>
        <v>9</v>
      </c>
      <c r="G28" s="393">
        <f ca="1">IF(OR(A28="",F28=0,LU!D$3+LU!D$102=0),"",F28/(LU!D$3+LU!D$102))</f>
        <v>0.20454545454545456</v>
      </c>
      <c r="H28" s="402" t="str">
        <f ca="1">IF(OR(C28=0,A28=""),"",SK!T174)</f>
        <v/>
      </c>
      <c r="I28" s="394" t="str">
        <f ca="1">IF(OR(A28="",SK!U174="",SK!U174=0),"",H28/SK!U174)</f>
        <v/>
      </c>
      <c r="J28" s="233" t="str">
        <f ca="1">IF(OR(C28=0,A28=""),"",SK!W174)</f>
        <v/>
      </c>
      <c r="K28" s="407" t="str">
        <f ca="1">IF(OR(C28=0,A28=""),"",SK!X174)</f>
        <v/>
      </c>
      <c r="L28" s="234" t="str">
        <f ca="1">IF(OR(C28=0,A28=""),"",SK!Z174)</f>
        <v/>
      </c>
      <c r="M28" s="234" t="str">
        <f ca="1">IF(OR(C28=0,A28=""),"",SK!AB174)</f>
        <v/>
      </c>
      <c r="N28" s="406" t="str">
        <f t="shared" ref="N28:N47" si="32">IF(OR(A28="",C28=0),"",K28/C28)</f>
        <v/>
      </c>
      <c r="O28" s="395" t="str">
        <f ca="1">IF(OR(A28="",C28=0),"",SK!Y174)</f>
        <v/>
      </c>
      <c r="P28" s="396" t="str">
        <f t="shared" ref="P28:P47" si="33">IF(OR(A28="",C28=0,K28=0),"",O28/K28)</f>
        <v/>
      </c>
      <c r="Q28" s="235">
        <f ca="1">IF(OR(A28="",F28=0),"",SUM(LU!AJ55,LU!AJ154))</f>
        <v>25</v>
      </c>
      <c r="R28" s="232">
        <f ca="1">IF(OR(A28="",F28=0),"",SUM(LU!AJ78,LU!AJ177))</f>
        <v>37</v>
      </c>
      <c r="S28" s="402">
        <f ca="1">IF(OR(A28="",F28=0),"",SUM(LU!AJ32,LU!AJ131))</f>
        <v>-12</v>
      </c>
      <c r="T28" s="232" t="str">
        <f ca="1">IF(OR(A28="",C28=0),"",SUM(LU!AH32,LU!AH131))</f>
        <v/>
      </c>
      <c r="U28" s="236" t="str">
        <f t="shared" ref="U28:U47" si="34">IF(OR(A28="",C28=0),"",T28/C28)</f>
        <v/>
      </c>
      <c r="V28" s="237" t="str">
        <f ca="1">IF(OR(A28="",D28=0),"",SUM(LU!W32,LU!W131))</f>
        <v/>
      </c>
      <c r="W28" s="236" t="str">
        <f t="shared" ref="W28:W47" si="35">IF(OR(A28="",D28=0),"",V28/D28)</f>
        <v/>
      </c>
      <c r="X28" s="237">
        <f ca="1">IF(OR(A28="",E28=0),"",SUM(LU!AC32,LU!AC131))</f>
        <v>-12</v>
      </c>
      <c r="Y28" s="236">
        <f t="shared" ref="Y28:Y47" ca="1" si="36">IF(OR(A28="",E28=0),"",X28/E28)</f>
        <v>-1.3333333333333333</v>
      </c>
      <c r="Z28" s="396">
        <f t="shared" ref="Z28:Z47" ca="1" si="37">IF(OR(A28="",F28="",F28=0),"",S28/F28)</f>
        <v>-1.3333333333333333</v>
      </c>
      <c r="AA28" s="238">
        <f ca="1">IF(OR(A28="",F28=0,Q$48="-",LU!$W$5=0),"",Q28-Q$48)</f>
        <v>-10.799999999999997</v>
      </c>
      <c r="AB28" s="239">
        <f ca="1">IF(OR(A28="",F28=0,R$48="-",LU!$W$5=0),"",R28-R$48)</f>
        <v>-10.333333333333336</v>
      </c>
      <c r="AC28" s="403">
        <f t="shared" ref="AC28:AC47" ca="1" si="38">IF(OR(A28="",F28=0,AA28=""),"",AA28-AB28)</f>
        <v>-0.46666666666666146</v>
      </c>
      <c r="AD28" s="445" t="str">
        <f t="shared" ref="AD28:AD47" si="39">IF(OR($A28="",C28=0),"",U28-U$48)</f>
        <v/>
      </c>
      <c r="AE28" s="445" t="str">
        <f t="shared" ref="AE28:AE47" si="40">IF(OR($A28="",D28=0),"",W28-W$48)</f>
        <v/>
      </c>
      <c r="AF28" s="446">
        <f t="shared" ref="AF28:AF47" ca="1" si="41">IF(OR($A28="",E28=0),"",Y28-Y$48)</f>
        <v>-0.59598808054690411</v>
      </c>
      <c r="AG28" s="447">
        <f ca="1">IF(OR($A28="",Z28="",Z$48="-",LU!$W$5=0),"",Z28-Z$48)</f>
        <v>-0.65025201893622941</v>
      </c>
      <c r="AH28" s="1103">
        <f ca="1">IF(OR(A28="",F28=0),"",SUM(PT!V52,PT!V53))</f>
        <v>1</v>
      </c>
      <c r="AI28" s="1104"/>
      <c r="AJ28" s="363" t="str">
        <f t="shared" ref="AJ28:AJ47" si="42">A28</f>
        <v>182</v>
      </c>
      <c r="AK28" s="240" t="str">
        <f t="shared" si="31"/>
        <v>Travis Blocker</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3</v>
      </c>
      <c r="AS28" s="232">
        <f ca="1">IF(OR($A28="",$F28=0),"",SUM(Actions!D54,Actions!K54))</f>
        <v>1</v>
      </c>
      <c r="AT28" s="232">
        <f ca="1">IF(OR($A28="",$F28=0),"",SUM(Actions!E54,Actions!L54))</f>
        <v>0</v>
      </c>
      <c r="AU28" s="232">
        <f ca="1">IF(OR($A28="",$F28=0),"",SUM(Actions!F54,Actions!M54))</f>
        <v>0</v>
      </c>
      <c r="AV28" s="232">
        <f ca="1">IF(OR($A28="",$F28=0),"",SUM(Actions!G54,Actions!N54))</f>
        <v>1</v>
      </c>
      <c r="AW28" s="402">
        <f t="shared" ref="AW28:AW47" si="44">IF(OR(A28="",F28=0),"",SUM(AR28:AV28))</f>
        <v>5</v>
      </c>
      <c r="AX28" s="400">
        <f t="shared" ref="AX28:AX47" si="45">IF(OR(A28="",F28=0),"",SUM(AQ28,AW28))</f>
        <v>5</v>
      </c>
      <c r="AY28" s="399">
        <f t="shared" ref="AY28:AY47" si="46">IF(OR(A28="",F28=0),"",SUM(AM28,AU28))</f>
        <v>0</v>
      </c>
      <c r="AZ28" s="404">
        <f t="shared" ref="AZ28:AZ47" si="47">IF(OR(A28="",F28=0),"",AQ28/F28)</f>
        <v>0</v>
      </c>
      <c r="BA28" s="243">
        <f t="shared" ref="BA28:BA47" si="48">IF(OR(A28="",F28=0,AQ$48=0),"",AQ28/AQ$48)</f>
        <v>0</v>
      </c>
      <c r="BB28" s="403">
        <f t="shared" ref="BB28:BB47" si="49">IF(OR(A28="",F28=0),"",AW28/F28)</f>
        <v>0.55555555555555558</v>
      </c>
      <c r="BC28" s="244">
        <f t="shared" ref="BC28:BC47" si="50">IF(OR(A28="",F28=0,AW$48=0),"",AW28/AW$48)</f>
        <v>3.1847133757961783E-2</v>
      </c>
      <c r="BD28" s="398">
        <f t="shared" ref="BD28:BD47" si="51">IF(OR(A28="",F28=0),"",AX28/F28)</f>
        <v>0.55555555555555558</v>
      </c>
      <c r="BE28" s="393">
        <f t="shared" ref="BE28:BE47" si="52">IF(OR(A28="",F28=0,AX$48=0),"",AX28/AX$48)</f>
        <v>2.5906735751295335E-2</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t="str">
        <f t="shared" ref="BL28:BL47" si="54">IF(OR(A28="",F28=0),"",IF(SUM(AT28,AU28,BH28,BG28)=0,"",SUM(AT28,AU28,BH28)/SUM(AT28,AU28,BH28,BG28)))</f>
        <v/>
      </c>
      <c r="BM28" s="397" t="str">
        <f t="shared" ref="BM28:BM47" si="55">IF(OR(A28="",F28=0),"",IF(SUM(AT28,AU28,BG28,BH28)=0,"",SUM(AT28,AU28)/SUM(AT28,AU28,BG28,BH28)))</f>
        <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t="str">
        <f t="shared" ref="BT28:BT47" si="57">IF(OR(A28="",C28=0),"",SUM(BO28:BS28))</f>
        <v/>
      </c>
    </row>
    <row r="29" spans="1:72" s="161" customFormat="1" ht="20" customHeight="1">
      <c r="A29" s="364" t="str">
        <f ca="1">IF(ISBLANK(IBRF!$H12),"",IBRF!$H12)</f>
        <v>2¢</v>
      </c>
      <c r="B29" s="247" t="str">
        <f ca="1">IF(ISBLANK(IBRF!$I12),"",IBRF!$I12)</f>
        <v>Vera Toss</v>
      </c>
      <c r="C29" s="248">
        <f ca="1">IF(A29="","",SUM(LU!AH10,LU!AH109))</f>
        <v>0</v>
      </c>
      <c r="D29" s="248">
        <f ca="1">IF(A29="","",SUM(LU!W10,LU!W109))</f>
        <v>0</v>
      </c>
      <c r="E29" s="249">
        <f ca="1">IF(A29="","",SUM(LU!AC10,LU!AC109))</f>
        <v>13</v>
      </c>
      <c r="F29" s="379">
        <f ca="1">IF(A29="","",(SUM(C29:E29)-(SUMPRODUCT(--(Lineups!Y$4:Y$79=A29),--(Lineups!W$4:W$79="SP"))+SUMPRODUCT(--(Lineups!AB$4:AB$79=A29),--(Lineups!W$4:W$79="SP"))+SUMPRODUCT(--(Lineups!Y$88:Y$163=A29),--(Lineups!W$88:W$163="SP"))+SUMPRODUCT(--(Lineups!AB$88:AB$163=A29),--(Lineups!W$88:W$163="SP")))))</f>
        <v>13</v>
      </c>
      <c r="G29" s="380">
        <f ca="1">IF(OR(A29="",F29=0,LU!D$3+LU!D$102=0),"",F29/(LU!D$3+LU!D$102))</f>
        <v>0.29545454545454547</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25</v>
      </c>
      <c r="R29" s="248">
        <f ca="1">IF(OR(A29="",F29=0),"",SUM(LU!AJ79,LU!AJ178))</f>
        <v>30</v>
      </c>
      <c r="S29" s="365">
        <f ca="1">IF(OR(A29="",F29=0),"",SUM(LU!AJ33,LU!AJ132))</f>
        <v>-5</v>
      </c>
      <c r="T29" s="248" t="str">
        <f ca="1">IF(OR(A29="",C29=0),"",SUM(LU!AH33,LU!AH132))</f>
        <v/>
      </c>
      <c r="U29" s="253" t="str">
        <f t="shared" si="34"/>
        <v/>
      </c>
      <c r="V29" s="254" t="str">
        <f ca="1">IF(OR(A29="",D29=0),"",SUM(LU!W33,LU!W132))</f>
        <v/>
      </c>
      <c r="W29" s="253" t="str">
        <f t="shared" si="35"/>
        <v/>
      </c>
      <c r="X29" s="254">
        <f ca="1">IF(OR(A29="",E29=0),"",SUM(LU!AC33,LU!AC132))</f>
        <v>-5</v>
      </c>
      <c r="Y29" s="253">
        <f t="shared" ca="1" si="36"/>
        <v>-0.38461538461538464</v>
      </c>
      <c r="Z29" s="385">
        <f t="shared" ca="1" si="37"/>
        <v>-0.38461538461538464</v>
      </c>
      <c r="AA29" s="255">
        <f ca="1">IF(OR(A29="",F29=0,Q$48="-",LU!$W$5=0),"",Q29-Q$48)</f>
        <v>-10.799999999999997</v>
      </c>
      <c r="AB29" s="256">
        <f ca="1">IF(OR(A29="",F29=0,R$48="-",LU!$W$5=0),"",R29-R$48)</f>
        <v>-17.333333333333336</v>
      </c>
      <c r="AC29" s="368">
        <f t="shared" ca="1" si="38"/>
        <v>6.5333333333333385</v>
      </c>
      <c r="AD29" s="389" t="str">
        <f t="shared" si="39"/>
        <v/>
      </c>
      <c r="AE29" s="389" t="str">
        <f t="shared" si="40"/>
        <v/>
      </c>
      <c r="AF29" s="390">
        <f t="shared" ca="1" si="41"/>
        <v>0.35272986817104451</v>
      </c>
      <c r="AG29" s="391">
        <f ca="1">IF(OR($A29="",Z29="",Z$48="-",LU!$W$5=0),"",Z29-Z$48)</f>
        <v>0.29846592978171921</v>
      </c>
      <c r="AH29" s="1099">
        <f ca="1">IF(OR(A29="",F29=0),"",SUM(PT!V54,PT!V55))</f>
        <v>1</v>
      </c>
      <c r="AI29" s="1100"/>
      <c r="AJ29" s="364" t="str">
        <f t="shared" si="42"/>
        <v>2¢</v>
      </c>
      <c r="AK29" s="257" t="str">
        <f t="shared" si="31"/>
        <v>Vera Toss</v>
      </c>
      <c r="AL29" s="258">
        <f ca="1">IF(OR($A29="",$F29=0),"",SUM(Actions!C27,Actions!J27))</f>
        <v>1</v>
      </c>
      <c r="AM29" s="259">
        <f ca="1">IF(OR($A29="",$F29=0),"",SUM(Actions!D27,Actions!K27))</f>
        <v>0</v>
      </c>
      <c r="AN29" s="259">
        <f ca="1">IF(OR($A29="",$F29=0),"",SUM(Actions!E27,Actions!L27))</f>
        <v>0</v>
      </c>
      <c r="AO29" s="259">
        <f ca="1">IF(OR($A29="",$F29=0),"",SUM(Actions!F27,Actions!M27))</f>
        <v>0</v>
      </c>
      <c r="AP29" s="259">
        <f ca="1">IF(OR($A29="",$F29=0),"",SUM(Actions!G27,Actions!N27))</f>
        <v>0</v>
      </c>
      <c r="AQ29" s="369">
        <f t="shared" si="43"/>
        <v>1</v>
      </c>
      <c r="AR29" s="252">
        <f ca="1">IF(OR($A29="",$F29=0),"",SUM(Actions!C55,Actions!J55))</f>
        <v>3</v>
      </c>
      <c r="AS29" s="248">
        <f ca="1">IF(OR($A29="",$F29=0),"",SUM(Actions!D55,Actions!K55))</f>
        <v>2</v>
      </c>
      <c r="AT29" s="248">
        <f ca="1">IF(OR($A29="",$F29=0),"",SUM(Actions!E55,Actions!L55))</f>
        <v>2</v>
      </c>
      <c r="AU29" s="248">
        <f ca="1">IF(OR($A29="",$F29=0),"",SUM(Actions!F55,Actions!M55))</f>
        <v>5</v>
      </c>
      <c r="AV29" s="248">
        <f ca="1">IF(OR($A29="",$F29=0),"",SUM(Actions!G55,Actions!N55))</f>
        <v>0</v>
      </c>
      <c r="AW29" s="365">
        <f t="shared" si="44"/>
        <v>12</v>
      </c>
      <c r="AX29" s="373">
        <f t="shared" si="45"/>
        <v>13</v>
      </c>
      <c r="AY29" s="374">
        <f t="shared" si="46"/>
        <v>5</v>
      </c>
      <c r="AZ29" s="370">
        <f t="shared" si="47"/>
        <v>7.6923076923076927E-2</v>
      </c>
      <c r="BA29" s="260">
        <f t="shared" si="48"/>
        <v>2.7777777777777776E-2</v>
      </c>
      <c r="BB29" s="368">
        <f t="shared" si="49"/>
        <v>0.92307692307692313</v>
      </c>
      <c r="BC29" s="261">
        <f t="shared" si="50"/>
        <v>7.6433121019108277E-2</v>
      </c>
      <c r="BD29" s="375">
        <f t="shared" si="51"/>
        <v>1</v>
      </c>
      <c r="BE29" s="376">
        <f t="shared" si="52"/>
        <v>6.7357512953367879E-2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24/7</v>
      </c>
      <c r="B30" s="247" t="str">
        <f ca="1">IF(ISBLANK(IBRF!$I13),"",IBRF!$I13)</f>
        <v>boo d. livers</v>
      </c>
      <c r="C30" s="248">
        <f ca="1">IF(A30="","",SUM(LU!AH11,LU!AH110))</f>
        <v>1</v>
      </c>
      <c r="D30" s="248">
        <f ca="1">IF(A30="","",SUM(LU!W11,LU!W110))</f>
        <v>0</v>
      </c>
      <c r="E30" s="249">
        <f ca="1">IF(A30="","",SUM(LU!AC11,LU!AC110))</f>
        <v>22</v>
      </c>
      <c r="F30" s="379">
        <f ca="1">IF(A30="","",(SUM(C30:E30)-(SUMPRODUCT(--(Lineups!Y$4:Y$79=A30),--(Lineups!W$4:W$79="SP"))+SUMPRODUCT(--(Lineups!AB$4:AB$79=A30),--(Lineups!W$4:W$79="SP"))+SUMPRODUCT(--(Lineups!Y$88:Y$163=A30),--(Lineups!W$88:W$163="SP"))+SUMPRODUCT(--(Lineups!AB$88:AB$163=A30),--(Lineups!W$88:W$163="SP")))))</f>
        <v>23</v>
      </c>
      <c r="G30" s="380">
        <f ca="1">IF(OR(A30="",F30=0,LU!D$3+LU!D$102=0),"",F30/(LU!D$3+LU!D$102))</f>
        <v>0.52272727272727271</v>
      </c>
      <c r="H30" s="365">
        <f ca="1">IF(OR(C30=0,A30=""),"",SK!T180)</f>
        <v>1</v>
      </c>
      <c r="I30" s="383">
        <f ca="1">IF(OR(A30="",SK!U180="",SK!U180=0),"",H30/SK!U180)</f>
        <v>1</v>
      </c>
      <c r="J30" s="250">
        <f ca="1">IF(OR(C30=0,A30=""),"",SK!W180)</f>
        <v>1</v>
      </c>
      <c r="K30" s="366">
        <f ca="1">IF(OR(C30=0,A30=""),"",SK!X180)</f>
        <v>0</v>
      </c>
      <c r="L30" s="251">
        <f ca="1">IF(OR(C30=0,A30=""),"",SK!Z180)</f>
        <v>0</v>
      </c>
      <c r="M30" s="251">
        <f ca="1">IF(OR(C30=0,A30=""),"",SK!AB180)</f>
        <v>0</v>
      </c>
      <c r="N30" s="367">
        <f t="shared" ca="1" si="32"/>
        <v>0</v>
      </c>
      <c r="O30" s="384">
        <f ca="1">IF(OR(A30="",C30=0),"",SK!Y180)</f>
        <v>0</v>
      </c>
      <c r="P30" s="385" t="str">
        <f t="shared" ca="1" si="33"/>
        <v/>
      </c>
      <c r="Q30" s="252">
        <f ca="1">IF(OR(A30="",F30=0),"",SUM(LU!AJ57,LU!AJ156))</f>
        <v>43</v>
      </c>
      <c r="R30" s="248">
        <f ca="1">IF(OR(A30="",F30=0),"",SUM(LU!AJ80,LU!AJ179))</f>
        <v>114</v>
      </c>
      <c r="S30" s="365">
        <f ca="1">IF(OR(A30="",F30=0),"",SUM(LU!AJ34,LU!AJ133))</f>
        <v>-71</v>
      </c>
      <c r="T30" s="248">
        <f ca="1">IF(OR(A30="",C30=0),"",SUM(LU!AH34,LU!AH133))</f>
        <v>-9</v>
      </c>
      <c r="U30" s="253">
        <f t="shared" ca="1" si="34"/>
        <v>-9</v>
      </c>
      <c r="V30" s="254" t="str">
        <f ca="1">IF(OR(A30="",D30=0),"",SUM(LU!W34,LU!W133))</f>
        <v/>
      </c>
      <c r="W30" s="253" t="str">
        <f t="shared" si="35"/>
        <v/>
      </c>
      <c r="X30" s="254">
        <f ca="1">IF(OR(A30="",E30=0),"",SUM(LU!AC34,LU!AC133))</f>
        <v>-62</v>
      </c>
      <c r="Y30" s="253">
        <f t="shared" ca="1" si="36"/>
        <v>-2.8181818181818183</v>
      </c>
      <c r="Z30" s="385">
        <f t="shared" ca="1" si="37"/>
        <v>-3.0869565217391304</v>
      </c>
      <c r="AA30" s="255">
        <f ca="1">IF(OR(A30="",F30=0,Q$48="-",LU!$W$5=0),"",Q30-Q$48)</f>
        <v>7.2000000000000028</v>
      </c>
      <c r="AB30" s="256">
        <f ca="1">IF(OR(A30="",F30=0,R$48="-",LU!$W$5=0),"",R30-R$48)</f>
        <v>66.666666666666657</v>
      </c>
      <c r="AC30" s="368">
        <f t="shared" ca="1" si="38"/>
        <v>-59.466666666666654</v>
      </c>
      <c r="AD30" s="389">
        <f t="shared" ca="1" si="39"/>
        <v>-5.0370879120879124</v>
      </c>
      <c r="AE30" s="389" t="str">
        <f t="shared" si="40"/>
        <v/>
      </c>
      <c r="AF30" s="390">
        <f t="shared" ca="1" si="41"/>
        <v>-2.0808365653953893</v>
      </c>
      <c r="AG30" s="391">
        <f ca="1">IF(OR($A30="",Z30="",Z$48="-",LU!$W$5=0),"",Z30-Z$48)</f>
        <v>-2.4038752073420264</v>
      </c>
      <c r="AH30" s="1099">
        <f ca="1">IF(OR(A30="",F30=0),"",SUM(PT!V56,PT!V57))</f>
        <v>5</v>
      </c>
      <c r="AI30" s="1100"/>
      <c r="AJ30" s="364" t="str">
        <f t="shared" si="42"/>
        <v>24/7</v>
      </c>
      <c r="AK30" s="257" t="str">
        <f t="shared" si="31"/>
        <v>boo d. livers</v>
      </c>
      <c r="AL30" s="258">
        <f ca="1">IF(OR($A30="",$F30=0),"",SUM(Actions!C28,Actions!J28))</f>
        <v>9</v>
      </c>
      <c r="AM30" s="259">
        <f ca="1">IF(OR($A30="",$F30=0),"",SUM(Actions!D28,Actions!K28))</f>
        <v>1</v>
      </c>
      <c r="AN30" s="259">
        <f ca="1">IF(OR($A30="",$F30=0),"",SUM(Actions!E28,Actions!L28))</f>
        <v>0</v>
      </c>
      <c r="AO30" s="259">
        <f ca="1">IF(OR($A30="",$F30=0),"",SUM(Actions!F28,Actions!M28))</f>
        <v>1</v>
      </c>
      <c r="AP30" s="259">
        <f ca="1">IF(OR($A30="",$F30=0),"",SUM(Actions!G28,Actions!N28))</f>
        <v>0</v>
      </c>
      <c r="AQ30" s="369">
        <f t="shared" si="43"/>
        <v>11</v>
      </c>
      <c r="AR30" s="252">
        <f ca="1">IF(OR($A30="",$F30=0),"",SUM(Actions!C56,Actions!J56))</f>
        <v>5</v>
      </c>
      <c r="AS30" s="248">
        <f ca="1">IF(OR($A30="",$F30=0),"",SUM(Actions!D56,Actions!K56))</f>
        <v>6</v>
      </c>
      <c r="AT30" s="248">
        <f ca="1">IF(OR($A30="",$F30=0),"",SUM(Actions!E56,Actions!L56))</f>
        <v>8</v>
      </c>
      <c r="AU30" s="248">
        <f ca="1">IF(OR($A30="",$F30=0),"",SUM(Actions!F56,Actions!M56))</f>
        <v>1</v>
      </c>
      <c r="AV30" s="248">
        <f ca="1">IF(OR($A30="",$F30=0),"",SUM(Actions!G56,Actions!N56))</f>
        <v>0</v>
      </c>
      <c r="AW30" s="365">
        <f t="shared" si="44"/>
        <v>20</v>
      </c>
      <c r="AX30" s="373">
        <f t="shared" si="45"/>
        <v>31</v>
      </c>
      <c r="AY30" s="374">
        <f t="shared" si="46"/>
        <v>2</v>
      </c>
      <c r="AZ30" s="370">
        <f t="shared" si="47"/>
        <v>0.47826086956521741</v>
      </c>
      <c r="BA30" s="260">
        <f t="shared" si="48"/>
        <v>0.30555555555555558</v>
      </c>
      <c r="BB30" s="368">
        <f t="shared" si="49"/>
        <v>0.86956521739130432</v>
      </c>
      <c r="BC30" s="261">
        <f t="shared" si="50"/>
        <v>0.12738853503184713</v>
      </c>
      <c r="BD30" s="375">
        <f t="shared" si="51"/>
        <v>1.3478260869565217</v>
      </c>
      <c r="BE30" s="376">
        <f t="shared" si="52"/>
        <v>0.16062176165803108</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f t="shared" si="57"/>
        <v>0</v>
      </c>
    </row>
    <row r="31" spans="1:72" s="161" customFormat="1" ht="20" customHeight="1">
      <c r="A31" s="364" t="str">
        <f ca="1">IF(ISBLANK(IBRF!$H14),"",IBRF!$H14)</f>
        <v>27</v>
      </c>
      <c r="B31" s="247" t="str">
        <f ca="1">IF(ISBLANK(IBRF!$I14),"",IBRF!$I14)</f>
        <v>A.O. Lesgo</v>
      </c>
      <c r="C31" s="248">
        <f ca="1">IF(A31="","",SUM(LU!AH12,LU!AH111))</f>
        <v>0</v>
      </c>
      <c r="D31" s="248">
        <f ca="1">IF(A31="","",SUM(LU!W12,LU!W111))</f>
        <v>0</v>
      </c>
      <c r="E31" s="249">
        <f ca="1">IF(A31="","",SUM(LU!AC12,LU!AC111))</f>
        <v>15</v>
      </c>
      <c r="F31" s="379">
        <f ca="1">IF(A31="","",(SUM(C31:E31)-(SUMPRODUCT(--(Lineups!Y$4:Y$79=A31),--(Lineups!W$4:W$79="SP"))+SUMPRODUCT(--(Lineups!AB$4:AB$79=A31),--(Lineups!W$4:W$79="SP"))+SUMPRODUCT(--(Lineups!Y$88:Y$163=A31),--(Lineups!W$88:W$163="SP"))+SUMPRODUCT(--(Lineups!AB$88:AB$163=A31),--(Lineups!W$88:W$163="SP")))))</f>
        <v>15</v>
      </c>
      <c r="G31" s="380">
        <f ca="1">IF(OR(A31="",F31=0,LU!D$3+LU!D$102=0),"",F31/(LU!D$3+LU!D$102))</f>
        <v>0.34090909090909088</v>
      </c>
      <c r="H31" s="365" t="str">
        <f ca="1">IF(OR(C31=0,A31=""),"",SK!T183)</f>
        <v/>
      </c>
      <c r="I31" s="383" t="str">
        <f ca="1">IF(OR(A31="",SK!U183="",SK!U183=0),"",H31/SK!U183)</f>
        <v/>
      </c>
      <c r="J31" s="250" t="str">
        <f ca="1">IF(OR(C31=0,A31=""),"",SK!W183)</f>
        <v/>
      </c>
      <c r="K31" s="366" t="str">
        <f ca="1">IF(OR(C31=0,A31=""),"",SK!X183)</f>
        <v/>
      </c>
      <c r="L31" s="251" t="str">
        <f ca="1">IF(OR(C31=0,A31=""),"",SK!Z183)</f>
        <v/>
      </c>
      <c r="M31" s="251" t="str">
        <f ca="1">IF(OR(C31=0,A31=""),"",SK!AB183)</f>
        <v/>
      </c>
      <c r="N31" s="367" t="str">
        <f t="shared" si="32"/>
        <v/>
      </c>
      <c r="O31" s="384" t="str">
        <f ca="1">IF(OR(A31="",C31=0),"",SK!Y183)</f>
        <v/>
      </c>
      <c r="P31" s="385" t="str">
        <f t="shared" si="33"/>
        <v/>
      </c>
      <c r="Q31" s="252">
        <f ca="1">IF(OR(A31="",F31=0),"",SUM(LU!AJ58,LU!AJ157))</f>
        <v>15</v>
      </c>
      <c r="R31" s="248">
        <f ca="1">IF(OR(A31="",F31=0),"",SUM(LU!AJ81,LU!AJ180))</f>
        <v>43</v>
      </c>
      <c r="S31" s="365">
        <f ca="1">IF(OR(A31="",F31=0),"",SUM(LU!AJ35,LU!AJ134))</f>
        <v>-28</v>
      </c>
      <c r="T31" s="248" t="str">
        <f ca="1">IF(OR(A31="",C31=0),"",SUM(LU!AH35,LU!AH134))</f>
        <v/>
      </c>
      <c r="U31" s="253" t="str">
        <f t="shared" si="34"/>
        <v/>
      </c>
      <c r="V31" s="254" t="str">
        <f ca="1">IF(OR(A31="",D31=0),"",SUM(LU!W35,LU!W134))</f>
        <v/>
      </c>
      <c r="W31" s="253" t="str">
        <f t="shared" si="35"/>
        <v/>
      </c>
      <c r="X31" s="254">
        <f ca="1">IF(OR(A31="",E31=0),"",SUM(LU!AC35,LU!AC134))</f>
        <v>-28</v>
      </c>
      <c r="Y31" s="253">
        <f t="shared" ca="1" si="36"/>
        <v>-1.8666666666666667</v>
      </c>
      <c r="Z31" s="385">
        <f t="shared" ca="1" si="37"/>
        <v>-1.8666666666666667</v>
      </c>
      <c r="AA31" s="255">
        <f ca="1">IF(OR(A31="",F31=0,Q$48="-",LU!$W$5=0),"",Q31-Q$48)</f>
        <v>-20.799999999999997</v>
      </c>
      <c r="AB31" s="256">
        <f ca="1">IF(OR(A31="",F31=0,R$48="-",LU!$W$5=0),"",R31-R$48)</f>
        <v>-4.3333333333333357</v>
      </c>
      <c r="AC31" s="368">
        <f t="shared" ca="1" si="38"/>
        <v>-16.466666666666661</v>
      </c>
      <c r="AD31" s="389" t="str">
        <f t="shared" si="39"/>
        <v/>
      </c>
      <c r="AE31" s="389" t="str">
        <f t="shared" si="40"/>
        <v/>
      </c>
      <c r="AF31" s="390">
        <f t="shared" ca="1" si="41"/>
        <v>-1.1293214138802377</v>
      </c>
      <c r="AG31" s="391">
        <f ca="1">IF(OR($A31="",Z31="",Z$48="-",LU!$W$5=0),"",Z31-Z$48)</f>
        <v>-1.1835853522695627</v>
      </c>
      <c r="AH31" s="1099">
        <f ca="1">IF(OR(A31="",F31=0),"",SUM(PT!V58,PT!V59))</f>
        <v>2</v>
      </c>
      <c r="AI31" s="1100"/>
      <c r="AJ31" s="364" t="str">
        <f t="shared" si="42"/>
        <v>27</v>
      </c>
      <c r="AK31" s="257" t="str">
        <f t="shared" si="31"/>
        <v>A.O. Lesgo</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7</v>
      </c>
      <c r="AS31" s="248">
        <f ca="1">IF(OR($A31="",$F31=0),"",SUM(Actions!D57,Actions!K57))</f>
        <v>0</v>
      </c>
      <c r="AT31" s="248">
        <f ca="1">IF(OR($A31="",$F31=0),"",SUM(Actions!E57,Actions!L57))</f>
        <v>3</v>
      </c>
      <c r="AU31" s="248">
        <f ca="1">IF(OR($A31="",$F31=0),"",SUM(Actions!F57,Actions!M57))</f>
        <v>0</v>
      </c>
      <c r="AV31" s="248">
        <f ca="1">IF(OR($A31="",$F31=0),"",SUM(Actions!G57,Actions!N57))</f>
        <v>0</v>
      </c>
      <c r="AW31" s="365">
        <f t="shared" si="44"/>
        <v>10</v>
      </c>
      <c r="AX31" s="373">
        <f t="shared" si="45"/>
        <v>11</v>
      </c>
      <c r="AY31" s="374">
        <f t="shared" si="46"/>
        <v>0</v>
      </c>
      <c r="AZ31" s="370">
        <f t="shared" si="47"/>
        <v>6.6666666666666666E-2</v>
      </c>
      <c r="BA31" s="260">
        <f t="shared" si="48"/>
        <v>2.7777777777777776E-2</v>
      </c>
      <c r="BB31" s="368">
        <f t="shared" si="49"/>
        <v>0.66666666666666663</v>
      </c>
      <c r="BC31" s="261">
        <f t="shared" si="50"/>
        <v>6.3694267515923567E-2</v>
      </c>
      <c r="BD31" s="375">
        <f t="shared" si="51"/>
        <v>0.73333333333333328</v>
      </c>
      <c r="BE31" s="376">
        <f t="shared" si="52"/>
        <v>5.6994818652849742E-2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t="str">
        <f t="shared" si="57"/>
        <v/>
      </c>
    </row>
    <row r="32" spans="1:72" s="161" customFormat="1" ht="20" customHeight="1">
      <c r="A32" s="364" t="str">
        <f ca="1">IF(ISBLANK(IBRF!$H15),"",IBRF!$H15)</f>
        <v>38DD</v>
      </c>
      <c r="B32" s="247" t="str">
        <f ca="1">IF(ISBLANK(IBRF!$I15),"",IBRF!$I15)</f>
        <v>Tig O' Hitties</v>
      </c>
      <c r="C32" s="248">
        <f ca="1">IF(A32="","",SUM(LU!AH13,LU!AH112))</f>
        <v>0</v>
      </c>
      <c r="D32" s="248">
        <f ca="1">IF(A32="","",SUM(LU!W13,LU!W112))</f>
        <v>0</v>
      </c>
      <c r="E32" s="249">
        <f ca="1">IF(A32="","",SUM(LU!AC13,LU!AC112))</f>
        <v>14</v>
      </c>
      <c r="F32" s="379">
        <f ca="1">IF(A32="","",(SUM(C32:E32)-(SUMPRODUCT(--(Lineups!Y$4:Y$79=A32),--(Lineups!W$4:W$79="SP"))+SUMPRODUCT(--(Lineups!AB$4:AB$79=A32),--(Lineups!W$4:W$79="SP"))+SUMPRODUCT(--(Lineups!Y$88:Y$163=A32),--(Lineups!W$88:W$163="SP"))+SUMPRODUCT(--(Lineups!AB$88:AB$163=A32),--(Lineups!W$88:W$163="SP")))))</f>
        <v>14</v>
      </c>
      <c r="G32" s="380">
        <f ca="1">IF(OR(A32="",F32=0,LU!D$3+LU!D$102=0),"",F32/(LU!D$3+LU!D$102))</f>
        <v>0.31818181818181818</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38</v>
      </c>
      <c r="R32" s="248">
        <f ca="1">IF(OR(A32="",F32=0),"",SUM(LU!AJ82,LU!AJ181))</f>
        <v>33</v>
      </c>
      <c r="S32" s="365">
        <f ca="1">IF(OR(A32="",F32=0),"",SUM(LU!AJ36,LU!AJ135))</f>
        <v>5</v>
      </c>
      <c r="T32" s="248" t="str">
        <f ca="1">IF(OR(A32="",C32=0),"",SUM(LU!AH36,LU!AH135))</f>
        <v/>
      </c>
      <c r="U32" s="253" t="str">
        <f t="shared" si="34"/>
        <v/>
      </c>
      <c r="V32" s="254" t="str">
        <f ca="1">IF(OR(A32="",D32=0),"",SUM(LU!W36,LU!W135))</f>
        <v/>
      </c>
      <c r="W32" s="253" t="str">
        <f t="shared" si="35"/>
        <v/>
      </c>
      <c r="X32" s="254">
        <f ca="1">IF(OR(A32="",E32=0),"",SUM(LU!AC36,LU!AC135))</f>
        <v>5</v>
      </c>
      <c r="Y32" s="253">
        <f t="shared" ca="1" si="36"/>
        <v>0.35714285714285715</v>
      </c>
      <c r="Z32" s="385">
        <f t="shared" ca="1" si="37"/>
        <v>0.35714285714285715</v>
      </c>
      <c r="AA32" s="255">
        <f ca="1">IF(OR(A32="",F32=0,Q$48="-",LU!$W$5=0),"",Q32-Q$48)</f>
        <v>2.2000000000000028</v>
      </c>
      <c r="AB32" s="256">
        <f ca="1">IF(OR(A32="",F32=0,R$48="-",LU!$W$5=0),"",R32-R$48)</f>
        <v>-14.333333333333336</v>
      </c>
      <c r="AC32" s="368">
        <f t="shared" ca="1" si="38"/>
        <v>16.533333333333339</v>
      </c>
      <c r="AD32" s="389" t="str">
        <f t="shared" si="39"/>
        <v/>
      </c>
      <c r="AE32" s="389" t="str">
        <f t="shared" si="40"/>
        <v/>
      </c>
      <c r="AF32" s="390">
        <f t="shared" ca="1" si="41"/>
        <v>1.0944881099292862</v>
      </c>
      <c r="AG32" s="391">
        <f ca="1">IF(OR($A32="",Z32="",Z$48="-",LU!$W$5=0),"",Z32-Z$48)</f>
        <v>1.0402241715399609</v>
      </c>
      <c r="AH32" s="1099">
        <f ca="1">IF(OR(A32="",F32=0),"",SUM(PT!V60,PT!V61))</f>
        <v>0</v>
      </c>
      <c r="AI32" s="1100"/>
      <c r="AJ32" s="364" t="str">
        <f t="shared" si="42"/>
        <v>38DD</v>
      </c>
      <c r="AK32" s="257" t="str">
        <f t="shared" si="31"/>
        <v>Tig O' Hitties</v>
      </c>
      <c r="AL32" s="258">
        <f ca="1">IF(OR($A32="",$F32=0),"",SUM(Actions!C30,Actions!J30))</f>
        <v>2</v>
      </c>
      <c r="AM32" s="259">
        <f ca="1">IF(OR($A32="",$F32=0),"",SUM(Actions!D30,Actions!K30))</f>
        <v>0</v>
      </c>
      <c r="AN32" s="259">
        <f ca="1">IF(OR($A32="",$F32=0),"",SUM(Actions!E30,Actions!L30))</f>
        <v>0</v>
      </c>
      <c r="AO32" s="259">
        <f ca="1">IF(OR($A32="",$F32=0),"",SUM(Actions!F30,Actions!M30))</f>
        <v>0</v>
      </c>
      <c r="AP32" s="259">
        <f ca="1">IF(OR($A32="",$F32=0),"",SUM(Actions!G30,Actions!N30))</f>
        <v>0</v>
      </c>
      <c r="AQ32" s="369">
        <f t="shared" si="43"/>
        <v>2</v>
      </c>
      <c r="AR32" s="252">
        <f ca="1">IF(OR($A32="",$F32=0),"",SUM(Actions!C58,Actions!J58))</f>
        <v>2</v>
      </c>
      <c r="AS32" s="248">
        <f ca="1">IF(OR($A32="",$F32=0),"",SUM(Actions!D58,Actions!K58))</f>
        <v>2</v>
      </c>
      <c r="AT32" s="248">
        <f ca="1">IF(OR($A32="",$F32=0),"",SUM(Actions!E58,Actions!L58))</f>
        <v>4</v>
      </c>
      <c r="AU32" s="248">
        <f ca="1">IF(OR($A32="",$F32=0),"",SUM(Actions!F58,Actions!M58))</f>
        <v>0</v>
      </c>
      <c r="AV32" s="248">
        <f ca="1">IF(OR($A32="",$F32=0),"",SUM(Actions!G58,Actions!N58))</f>
        <v>1</v>
      </c>
      <c r="AW32" s="365">
        <f t="shared" si="44"/>
        <v>9</v>
      </c>
      <c r="AX32" s="373">
        <f t="shared" si="45"/>
        <v>11</v>
      </c>
      <c r="AY32" s="374">
        <f t="shared" si="46"/>
        <v>0</v>
      </c>
      <c r="AZ32" s="370">
        <f t="shared" si="47"/>
        <v>0.14285714285714285</v>
      </c>
      <c r="BA32" s="260">
        <f t="shared" si="48"/>
        <v>5.5555555555555552E-2</v>
      </c>
      <c r="BB32" s="368">
        <f t="shared" si="49"/>
        <v>0.6428571428571429</v>
      </c>
      <c r="BC32" s="261">
        <f t="shared" si="50"/>
        <v>5.7324840764331211E-2</v>
      </c>
      <c r="BD32" s="375">
        <f t="shared" si="51"/>
        <v>0.7857142857142857</v>
      </c>
      <c r="BE32" s="376">
        <f t="shared" si="52"/>
        <v>5.6994818652849742E-2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42</v>
      </c>
      <c r="B33" s="247" t="str">
        <f ca="1">IF(ISBLANK(IBRF!$I16),"",IBRF!$I16)</f>
        <v>Midnite Vulture</v>
      </c>
      <c r="C33" s="248">
        <f ca="1">IF(A33="","",SUM(LU!AH14,LU!AH113))</f>
        <v>1</v>
      </c>
      <c r="D33" s="248">
        <f ca="1">IF(A33="","",SUM(LU!W14,LU!W113))</f>
        <v>0</v>
      </c>
      <c r="E33" s="249">
        <f ca="1">IF(A33="","",SUM(LU!AC14,LU!AC113))</f>
        <v>8</v>
      </c>
      <c r="F33" s="379">
        <f ca="1">IF(A33="","",(SUM(C33:E33)-(SUMPRODUCT(--(Lineups!Y$4:Y$79=A33),--(Lineups!W$4:W$79="SP"))+SUMPRODUCT(--(Lineups!AB$4:AB$79=A33),--(Lineups!W$4:W$79="SP"))+SUMPRODUCT(--(Lineups!Y$88:Y$163=A33),--(Lineups!W$88:W$163="SP"))+SUMPRODUCT(--(Lineups!AB$88:AB$163=A33),--(Lineups!W$88:W$163="SP")))))</f>
        <v>9</v>
      </c>
      <c r="G33" s="380">
        <f ca="1">IF(OR(A33="",F33=0,LU!D$3+LU!D$102=0),"",F33/(LU!D$3+LU!D$102))</f>
        <v>0.20454545454545456</v>
      </c>
      <c r="H33" s="365">
        <f ca="1">IF(OR(C33=0,A33=""),"",SK!T189)</f>
        <v>4</v>
      </c>
      <c r="I33" s="383">
        <f ca="1">IF(OR(A33="",SK!U189="",SK!U189=0),"",H33/SK!U189)</f>
        <v>4</v>
      </c>
      <c r="J33" s="250">
        <f ca="1">IF(OR(C33=0,A33=""),"",SK!W189)</f>
        <v>1</v>
      </c>
      <c r="K33" s="366">
        <f ca="1">IF(OR(C33=0,A33=""),"",SK!X189)</f>
        <v>0</v>
      </c>
      <c r="L33" s="251">
        <f ca="1">IF(OR(C33=0,A33=""),"",SK!Z189)</f>
        <v>0</v>
      </c>
      <c r="M33" s="251">
        <f ca="1">IF(OR(C33=0,A33=""),"",SK!AB189)</f>
        <v>0</v>
      </c>
      <c r="N33" s="367">
        <f t="shared" ca="1" si="32"/>
        <v>0</v>
      </c>
      <c r="O33" s="384">
        <f ca="1">IF(OR(A33="",C33=0),"",SK!Y189)</f>
        <v>0</v>
      </c>
      <c r="P33" s="385" t="str">
        <f t="shared" ca="1" si="33"/>
        <v/>
      </c>
      <c r="Q33" s="252">
        <f ca="1">IF(OR(A33="",F33=0),"",SUM(LU!AJ60,LU!AJ159))</f>
        <v>26</v>
      </c>
      <c r="R33" s="248">
        <f ca="1">IF(OR(A33="",F33=0),"",SUM(LU!AJ83,LU!AJ182))</f>
        <v>28</v>
      </c>
      <c r="S33" s="365">
        <f ca="1">IF(OR(A33="",F33=0),"",SUM(LU!AJ37,LU!AJ136))</f>
        <v>-2</v>
      </c>
      <c r="T33" s="248">
        <f ca="1">IF(OR(A33="",C33=0),"",SUM(LU!AH37,LU!AH136))</f>
        <v>-6</v>
      </c>
      <c r="U33" s="253">
        <f t="shared" ca="1" si="34"/>
        <v>-6</v>
      </c>
      <c r="V33" s="254" t="str">
        <f ca="1">IF(OR(A33="",D33=0),"",SUM(LU!W37,LU!W136))</f>
        <v/>
      </c>
      <c r="W33" s="253" t="str">
        <f t="shared" si="35"/>
        <v/>
      </c>
      <c r="X33" s="254">
        <f ca="1">IF(OR(A33="",E33=0),"",SUM(LU!AC37,LU!AC136))</f>
        <v>4</v>
      </c>
      <c r="Y33" s="253">
        <f t="shared" ca="1" si="36"/>
        <v>0.5</v>
      </c>
      <c r="Z33" s="385">
        <f t="shared" ca="1" si="37"/>
        <v>-0.22222222222222221</v>
      </c>
      <c r="AA33" s="255">
        <f ca="1">IF(OR(A33="",F33=0,Q$48="-",LU!$W$5=0),"",Q33-Q$48)</f>
        <v>-9.7999999999999972</v>
      </c>
      <c r="AB33" s="256">
        <f ca="1">IF(OR(A33="",F33=0,R$48="-",LU!$W$5=0),"",R33-R$48)</f>
        <v>-19.333333333333336</v>
      </c>
      <c r="AC33" s="368">
        <f t="shared" ca="1" si="38"/>
        <v>9.5333333333333385</v>
      </c>
      <c r="AD33" s="389">
        <f t="shared" ca="1" si="39"/>
        <v>-2.037087912087912</v>
      </c>
      <c r="AE33" s="389" t="str">
        <f t="shared" si="40"/>
        <v/>
      </c>
      <c r="AF33" s="390">
        <f t="shared" ca="1" si="41"/>
        <v>1.237345252786429</v>
      </c>
      <c r="AG33" s="391">
        <f ca="1">IF(OR($A33="",Z33="",Z$48="-",LU!$W$5=0),"",Z33-Z$48)</f>
        <v>0.46085909217488163</v>
      </c>
      <c r="AH33" s="1099">
        <f ca="1">IF(OR(A33="",F33=0),"",SUM(PT!V62,PT!V63))</f>
        <v>1</v>
      </c>
      <c r="AI33" s="1100"/>
      <c r="AJ33" s="364" t="str">
        <f t="shared" si="42"/>
        <v>42</v>
      </c>
      <c r="AK33" s="257" t="str">
        <f t="shared" si="31"/>
        <v>Midnite Vulture</v>
      </c>
      <c r="AL33" s="258">
        <f ca="1">IF(OR($A33="",$F33=0),"",SUM(Actions!C31,Actions!J31))</f>
        <v>2</v>
      </c>
      <c r="AM33" s="259">
        <f ca="1">IF(OR($A33="",$F33=0),"",SUM(Actions!D31,Actions!K31))</f>
        <v>0</v>
      </c>
      <c r="AN33" s="259">
        <f ca="1">IF(OR($A33="",$F33=0),"",SUM(Actions!E31,Actions!L31))</f>
        <v>0</v>
      </c>
      <c r="AO33" s="259">
        <f ca="1">IF(OR($A33="",$F33=0),"",SUM(Actions!F31,Actions!M31))</f>
        <v>0</v>
      </c>
      <c r="AP33" s="259">
        <f ca="1">IF(OR($A33="",$F33=0),"",SUM(Actions!G31,Actions!N31))</f>
        <v>0</v>
      </c>
      <c r="AQ33" s="369">
        <f t="shared" si="43"/>
        <v>2</v>
      </c>
      <c r="AR33" s="252">
        <f ca="1">IF(OR($A33="",$F33=0),"",SUM(Actions!C59,Actions!J59))</f>
        <v>0</v>
      </c>
      <c r="AS33" s="248">
        <f ca="1">IF(OR($A33="",$F33=0),"",SUM(Actions!D59,Actions!K59))</f>
        <v>0</v>
      </c>
      <c r="AT33" s="248">
        <f ca="1">IF(OR($A33="",$F33=0),"",SUM(Actions!E59,Actions!L59))</f>
        <v>2</v>
      </c>
      <c r="AU33" s="248">
        <f ca="1">IF(OR($A33="",$F33=0),"",SUM(Actions!F59,Actions!M59))</f>
        <v>0</v>
      </c>
      <c r="AV33" s="248">
        <f ca="1">IF(OR($A33="",$F33=0),"",SUM(Actions!G59,Actions!N59))</f>
        <v>0</v>
      </c>
      <c r="AW33" s="365">
        <f t="shared" si="44"/>
        <v>2</v>
      </c>
      <c r="AX33" s="373">
        <f t="shared" si="45"/>
        <v>4</v>
      </c>
      <c r="AY33" s="374">
        <f t="shared" si="46"/>
        <v>0</v>
      </c>
      <c r="AZ33" s="370">
        <f t="shared" si="47"/>
        <v>0.22222222222222221</v>
      </c>
      <c r="BA33" s="260">
        <f t="shared" si="48"/>
        <v>5.5555555555555552E-2</v>
      </c>
      <c r="BB33" s="368">
        <f t="shared" si="49"/>
        <v>0.22222222222222221</v>
      </c>
      <c r="BC33" s="261">
        <f t="shared" si="50"/>
        <v>1.2738853503184714E-2</v>
      </c>
      <c r="BD33" s="375">
        <f t="shared" si="51"/>
        <v>0.44444444444444442</v>
      </c>
      <c r="BE33" s="376">
        <f t="shared" si="52"/>
        <v>2.072538860103627E-2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t="str">
        <f t="shared" si="56"/>
        <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f t="shared" si="57"/>
        <v>0</v>
      </c>
    </row>
    <row r="34" spans="1:72" s="161" customFormat="1" ht="20" customHeight="1">
      <c r="A34" s="364" t="str">
        <f ca="1">IF(ISBLANK(IBRF!$H17),"",IBRF!$H17)</f>
        <v>50</v>
      </c>
      <c r="B34" s="247" t="str">
        <f ca="1">IF(ISBLANK(IBRF!$I17),"",IBRF!$I17)</f>
        <v>Sam-I-Slam</v>
      </c>
      <c r="C34" s="248">
        <f ca="1">IF(A34="","",SUM(LU!AH15,LU!AH114))</f>
        <v>12</v>
      </c>
      <c r="D34" s="248">
        <f ca="1">IF(A34="","",SUM(LU!W15,LU!W114))</f>
        <v>1</v>
      </c>
      <c r="E34" s="249">
        <f ca="1">IF(A34="","",SUM(LU!AC15,LU!AC114))</f>
        <v>0</v>
      </c>
      <c r="F34" s="379">
        <f ca="1">IF(A34="","",(SUM(C34:E34)-(SUMPRODUCT(--(Lineups!Y$4:Y$79=A34),--(Lineups!W$4:W$79="SP"))+SUMPRODUCT(--(Lineups!AB$4:AB$79=A34),--(Lineups!W$4:W$79="SP"))+SUMPRODUCT(--(Lineups!Y$88:Y$163=A34),--(Lineups!W$88:W$163="SP"))+SUMPRODUCT(--(Lineups!AB$88:AB$163=A34),--(Lineups!W$88:W$163="SP")))))</f>
        <v>13</v>
      </c>
      <c r="G34" s="380">
        <f ca="1">IF(OR(A34="",F34=0,LU!D$3+LU!D$102=0),"",F34/(LU!D$3+LU!D$102))</f>
        <v>0.29545454545454547</v>
      </c>
      <c r="H34" s="365">
        <f ca="1">IF(OR(C34=0,A34=""),"",SK!T192)</f>
        <v>20</v>
      </c>
      <c r="I34" s="383">
        <f ca="1">IF(OR(A34="",SK!U192="",SK!U192=0),"",H34/SK!U192)</f>
        <v>1.6666666666666667</v>
      </c>
      <c r="J34" s="250">
        <f ca="1">IF(OR(C34=0,A34=""),"",SK!W192)</f>
        <v>1</v>
      </c>
      <c r="K34" s="366">
        <f ca="1">IF(OR(C34=0,A34=""),"",SK!X192)</f>
        <v>5</v>
      </c>
      <c r="L34" s="251">
        <f ca="1">IF(OR(C34=0,A34=""),"",SK!Z192)</f>
        <v>4</v>
      </c>
      <c r="M34" s="251">
        <f ca="1">IF(OR(C34=0,A34=""),"",SK!AB192)</f>
        <v>0</v>
      </c>
      <c r="N34" s="367">
        <f t="shared" ca="1" si="32"/>
        <v>0.41666666666666669</v>
      </c>
      <c r="O34" s="384">
        <f ca="1">IF(OR(A34="",C34=0),"",SK!Y192)</f>
        <v>16</v>
      </c>
      <c r="P34" s="385">
        <f t="shared" ca="1" si="33"/>
        <v>3.2</v>
      </c>
      <c r="Q34" s="252">
        <f ca="1">IF(OR(A34="",F34=0),"",SUM(LU!AJ61,LU!AJ160))</f>
        <v>20</v>
      </c>
      <c r="R34" s="248">
        <f ca="1">IF(OR(A34="",F34=0),"",SUM(LU!AJ84,LU!AJ183))</f>
        <v>33</v>
      </c>
      <c r="S34" s="365">
        <f ca="1">IF(OR(A34="",F34=0),"",SUM(LU!AJ38,LU!AJ137))</f>
        <v>-13</v>
      </c>
      <c r="T34" s="248">
        <f ca="1">IF(OR(A34="",C34=0),"",SUM(LU!AH38,LU!AH137))</f>
        <v>-9</v>
      </c>
      <c r="U34" s="253">
        <f t="shared" ca="1" si="34"/>
        <v>-0.75</v>
      </c>
      <c r="V34" s="254">
        <f ca="1">IF(OR(A34="",D34=0),"",SUM(LU!W38,LU!W137))</f>
        <v>-4</v>
      </c>
      <c r="W34" s="253">
        <f t="shared" ca="1" si="35"/>
        <v>-4</v>
      </c>
      <c r="X34" s="254" t="str">
        <f ca="1">IF(OR(A34="",E34=0),"",SUM(LU!AC38,LU!AC137))</f>
        <v/>
      </c>
      <c r="Y34" s="253" t="str">
        <f t="shared" si="36"/>
        <v/>
      </c>
      <c r="Z34" s="385">
        <f t="shared" ca="1" si="37"/>
        <v>-1</v>
      </c>
      <c r="AA34" s="255">
        <f ca="1">IF(OR(A34="",F34=0,Q$48="-",LU!$W$5=0),"",Q34-Q$48)</f>
        <v>-15.799999999999997</v>
      </c>
      <c r="AB34" s="256">
        <f ca="1">IF(OR(A34="",F34=0,R$48="-",LU!$W$5=0),"",R34-R$48)</f>
        <v>-14.333333333333336</v>
      </c>
      <c r="AC34" s="368">
        <f t="shared" ca="1" si="38"/>
        <v>-1.4666666666666615</v>
      </c>
      <c r="AD34" s="389">
        <f t="shared" ca="1" si="39"/>
        <v>3.212912087912088</v>
      </c>
      <c r="AE34" s="389">
        <f t="shared" ca="1" si="40"/>
        <v>-3.6972853535353538</v>
      </c>
      <c r="AF34" s="390" t="str">
        <f t="shared" si="41"/>
        <v/>
      </c>
      <c r="AG34" s="391">
        <f ca="1">IF(OR($A34="",Z34="",Z$48="-",LU!$W$5=0),"",Z34-Z$48)</f>
        <v>-0.31691868560289616</v>
      </c>
      <c r="AH34" s="1099">
        <f ca="1">IF(OR(A34="",F34=0),"",SUM(PT!V64,PT!V65))</f>
        <v>2</v>
      </c>
      <c r="AI34" s="1100"/>
      <c r="AJ34" s="364" t="str">
        <f t="shared" si="42"/>
        <v>50</v>
      </c>
      <c r="AK34" s="257" t="str">
        <f t="shared" si="31"/>
        <v>Sam-I-Slam</v>
      </c>
      <c r="AL34" s="258">
        <f ca="1">IF(OR($A34="",$F34=0),"",SUM(Actions!C32,Actions!J32))</f>
        <v>1</v>
      </c>
      <c r="AM34" s="259">
        <f ca="1">IF(OR($A34="",$F34=0),"",SUM(Actions!D32,Actions!K32))</f>
        <v>0</v>
      </c>
      <c r="AN34" s="259">
        <f ca="1">IF(OR($A34="",$F34=0),"",SUM(Actions!E32,Actions!L32))</f>
        <v>0</v>
      </c>
      <c r="AO34" s="259">
        <f ca="1">IF(OR($A34="",$F34=0),"",SUM(Actions!F32,Actions!M32))</f>
        <v>0</v>
      </c>
      <c r="AP34" s="259">
        <f ca="1">IF(OR($A34="",$F34=0),"",SUM(Actions!G32,Actions!N32))</f>
        <v>0</v>
      </c>
      <c r="AQ34" s="369">
        <f t="shared" si="43"/>
        <v>1</v>
      </c>
      <c r="AR34" s="252">
        <f ca="1">IF(OR($A34="",$F34=0),"",SUM(Actions!C60,Actions!J60))</f>
        <v>0</v>
      </c>
      <c r="AS34" s="248">
        <f ca="1">IF(OR($A34="",$F34=0),"",SUM(Actions!D60,Actions!K60))</f>
        <v>0</v>
      </c>
      <c r="AT34" s="248">
        <f ca="1">IF(OR($A34="",$F34=0),"",SUM(Actions!E60,Actions!L60))</f>
        <v>0</v>
      </c>
      <c r="AU34" s="248">
        <f ca="1">IF(OR($A34="",$F34=0),"",SUM(Actions!F60,Actions!M60))</f>
        <v>0</v>
      </c>
      <c r="AV34" s="248">
        <f ca="1">IF(OR($A34="",$F34=0),"",SUM(Actions!G60,Actions!N60))</f>
        <v>0</v>
      </c>
      <c r="AW34" s="365">
        <f t="shared" si="44"/>
        <v>0</v>
      </c>
      <c r="AX34" s="373">
        <f t="shared" si="45"/>
        <v>1</v>
      </c>
      <c r="AY34" s="374">
        <f t="shared" si="46"/>
        <v>0</v>
      </c>
      <c r="AZ34" s="370">
        <f t="shared" si="47"/>
        <v>7.6923076923076927E-2</v>
      </c>
      <c r="BA34" s="260">
        <f t="shared" si="48"/>
        <v>2.7777777777777776E-2</v>
      </c>
      <c r="BB34" s="368">
        <f t="shared" si="49"/>
        <v>0</v>
      </c>
      <c r="BC34" s="261">
        <f t="shared" si="50"/>
        <v>0</v>
      </c>
      <c r="BD34" s="375">
        <f t="shared" si="51"/>
        <v>7.6923076923076927E-2</v>
      </c>
      <c r="BE34" s="376">
        <f t="shared" si="52"/>
        <v>5.1813471502590676E-3</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t="str">
        <f t="shared" si="54"/>
        <v/>
      </c>
      <c r="BM34" s="377" t="str">
        <f t="shared" si="55"/>
        <v/>
      </c>
      <c r="BN34" s="378" t="str">
        <f t="shared" si="56"/>
        <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620</v>
      </c>
      <c r="B35" s="247" t="str">
        <f ca="1">IF(ISBLANK(IBRF!$I18),"",IBRF!$I18)</f>
        <v>Lazer Beam</v>
      </c>
      <c r="C35" s="248">
        <f ca="1">IF(A35="","",SUM(LU!AH16,LU!AH115))</f>
        <v>16</v>
      </c>
      <c r="D35" s="248">
        <f ca="1">IF(A35="","",SUM(LU!W16,LU!W115))</f>
        <v>0</v>
      </c>
      <c r="E35" s="249">
        <f ca="1">IF(A35="","",SUM(LU!AC16,LU!AC115))</f>
        <v>0</v>
      </c>
      <c r="F35" s="379">
        <f ca="1">IF(A35="","",(SUM(C35:E35)-(SUMPRODUCT(--(Lineups!Y$4:Y$79=A35),--(Lineups!W$4:W$79="SP"))+SUMPRODUCT(--(Lineups!AB$4:AB$79=A35),--(Lineups!W$4:W$79="SP"))+SUMPRODUCT(--(Lineups!Y$88:Y$163=A35),--(Lineups!W$88:W$163="SP"))+SUMPRODUCT(--(Lineups!AB$88:AB$163=A35),--(Lineups!W$88:W$163="SP")))))</f>
        <v>16</v>
      </c>
      <c r="G35" s="380">
        <f ca="1">IF(OR(A35="",F35=0,LU!D$3+LU!D$102=0),"",F35/(LU!D$3+LU!D$102))</f>
        <v>0.36363636363636365</v>
      </c>
      <c r="H35" s="365">
        <f ca="1">IF(OR(C35=0,A35=""),"",SK!T195)</f>
        <v>55</v>
      </c>
      <c r="I35" s="383">
        <f ca="1">IF(OR(A35="",SK!U195="",SK!U195=0),"",H35/SK!U195)</f>
        <v>3.4375</v>
      </c>
      <c r="J35" s="250">
        <f ca="1">IF(OR(C35=0,A35=""),"",SK!W195)</f>
        <v>1</v>
      </c>
      <c r="K35" s="366">
        <f ca="1">IF(OR(C35=0,A35=""),"",SK!X195)</f>
        <v>10</v>
      </c>
      <c r="L35" s="251">
        <f ca="1">IF(OR(C35=0,A35=""),"",SK!Z195)</f>
        <v>9</v>
      </c>
      <c r="M35" s="251">
        <f ca="1">IF(OR(C35=0,A35=""),"",SK!AB195)</f>
        <v>0</v>
      </c>
      <c r="N35" s="367">
        <f t="shared" ca="1" si="32"/>
        <v>0.625</v>
      </c>
      <c r="O35" s="384">
        <f ca="1">IF(OR(A35="",C35=0),"",SK!Y195)</f>
        <v>37</v>
      </c>
      <c r="P35" s="385">
        <f t="shared" ca="1" si="33"/>
        <v>3.7</v>
      </c>
      <c r="Q35" s="252">
        <f ca="1">IF(OR(A35="",F35=0),"",SUM(LU!AJ62,LU!AJ161))</f>
        <v>55</v>
      </c>
      <c r="R35" s="248">
        <f ca="1">IF(OR(A35="",F35=0),"",SUM(LU!AJ85,LU!AJ184))</f>
        <v>45</v>
      </c>
      <c r="S35" s="365">
        <f ca="1">IF(OR(A35="",F35=0),"",SUM(LU!AJ39,LU!AJ138))</f>
        <v>10</v>
      </c>
      <c r="T35" s="248">
        <f ca="1">IF(OR(A35="",C35=0),"",SUM(LU!AH39,LU!AH138))</f>
        <v>10</v>
      </c>
      <c r="U35" s="253">
        <f t="shared" ca="1" si="34"/>
        <v>0.625</v>
      </c>
      <c r="V35" s="254" t="str">
        <f ca="1">IF(OR(A35="",D35=0),"",SUM(LU!W39,LU!W138))</f>
        <v/>
      </c>
      <c r="W35" s="253" t="str">
        <f t="shared" si="35"/>
        <v/>
      </c>
      <c r="X35" s="254" t="str">
        <f ca="1">IF(OR(A35="",E35=0),"",SUM(LU!AC39,LU!AC138))</f>
        <v/>
      </c>
      <c r="Y35" s="253" t="str">
        <f t="shared" si="36"/>
        <v/>
      </c>
      <c r="Z35" s="385">
        <f t="shared" ca="1" si="37"/>
        <v>0.625</v>
      </c>
      <c r="AA35" s="255">
        <f ca="1">IF(OR(A35="",F35=0,Q$48="-",LU!$W$5=0),"",Q35-Q$48)</f>
        <v>19.200000000000003</v>
      </c>
      <c r="AB35" s="256">
        <f ca="1">IF(OR(A35="",F35=0,R$48="-",LU!$W$5=0),"",R35-R$48)</f>
        <v>-2.3333333333333357</v>
      </c>
      <c r="AC35" s="368">
        <f t="shared" ca="1" si="38"/>
        <v>21.533333333333339</v>
      </c>
      <c r="AD35" s="389">
        <f t="shared" ca="1" si="39"/>
        <v>4.5879120879120876</v>
      </c>
      <c r="AE35" s="389" t="str">
        <f t="shared" si="40"/>
        <v/>
      </c>
      <c r="AF35" s="390" t="str">
        <f t="shared" si="41"/>
        <v/>
      </c>
      <c r="AG35" s="391">
        <f ca="1">IF(OR($A35="",Z35="",Z$48="-",LU!$W$5=0),"",Z35-Z$48)</f>
        <v>1.308081314397104</v>
      </c>
      <c r="AH35" s="1099">
        <f ca="1">IF(OR(A35="",F35=0),"",SUM(PT!V66,PT!V67))</f>
        <v>2</v>
      </c>
      <c r="AI35" s="1100"/>
      <c r="AJ35" s="364" t="str">
        <f t="shared" si="42"/>
        <v>620</v>
      </c>
      <c r="AK35" s="257" t="str">
        <f t="shared" si="31"/>
        <v>Lazer Beam</v>
      </c>
      <c r="AL35" s="258">
        <f ca="1">IF(OR($A35="",$F35=0),"",SUM(Actions!C33,Actions!J33))</f>
        <v>0</v>
      </c>
      <c r="AM35" s="259">
        <f ca="1">IF(OR($A35="",$F35=0),"",SUM(Actions!D33,Actions!K33))</f>
        <v>1</v>
      </c>
      <c r="AN35" s="259">
        <f ca="1">IF(OR($A35="",$F35=0),"",SUM(Actions!E33,Actions!L33))</f>
        <v>0</v>
      </c>
      <c r="AO35" s="259">
        <f ca="1">IF(OR($A35="",$F35=0),"",SUM(Actions!F33,Actions!M33))</f>
        <v>0</v>
      </c>
      <c r="AP35" s="259">
        <f ca="1">IF(OR($A35="",$F35=0),"",SUM(Actions!G33,Actions!N33))</f>
        <v>0</v>
      </c>
      <c r="AQ35" s="369">
        <f t="shared" si="43"/>
        <v>1</v>
      </c>
      <c r="AR35" s="252">
        <f ca="1">IF(OR($A35="",$F35=0),"",SUM(Actions!C61,Actions!J61))</f>
        <v>0</v>
      </c>
      <c r="AS35" s="248">
        <f ca="1">IF(OR($A35="",$F35=0),"",SUM(Actions!D61,Actions!K61))</f>
        <v>0</v>
      </c>
      <c r="AT35" s="248">
        <f ca="1">IF(OR($A35="",$F35=0),"",SUM(Actions!E61,Actions!L61))</f>
        <v>0</v>
      </c>
      <c r="AU35" s="248">
        <f ca="1">IF(OR($A35="",$F35=0),"",SUM(Actions!F61,Actions!M61))</f>
        <v>0</v>
      </c>
      <c r="AV35" s="248">
        <f ca="1">IF(OR($A35="",$F35=0),"",SUM(Actions!G61,Actions!N61))</f>
        <v>0</v>
      </c>
      <c r="AW35" s="365">
        <f t="shared" si="44"/>
        <v>0</v>
      </c>
      <c r="AX35" s="373">
        <f t="shared" si="45"/>
        <v>1</v>
      </c>
      <c r="AY35" s="374">
        <f t="shared" si="46"/>
        <v>1</v>
      </c>
      <c r="AZ35" s="370">
        <f t="shared" si="47"/>
        <v>6.25E-2</v>
      </c>
      <c r="BA35" s="260">
        <f t="shared" si="48"/>
        <v>2.7777777777777776E-2</v>
      </c>
      <c r="BB35" s="368">
        <f t="shared" si="49"/>
        <v>0</v>
      </c>
      <c r="BC35" s="261">
        <f t="shared" si="50"/>
        <v>0</v>
      </c>
      <c r="BD35" s="375">
        <f t="shared" si="51"/>
        <v>6.25E-2</v>
      </c>
      <c r="BE35" s="376">
        <f t="shared" si="52"/>
        <v>5.1813471502590676E-3</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t="str">
        <f t="shared" si="54"/>
        <v/>
      </c>
      <c r="BM35" s="377" t="str">
        <f t="shared" si="55"/>
        <v/>
      </c>
      <c r="BN35" s="378" t="str">
        <f t="shared" si="56"/>
        <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7</v>
      </c>
      <c r="B36" s="247" t="str">
        <f ca="1">IF(ISBLANK(IBRF!$I19),"",IBRF!$I19)</f>
        <v>CottonCandy Princess</v>
      </c>
      <c r="C36" s="248">
        <f ca="1">IF(A36="","",SUM(LU!AH17,LU!AH116))</f>
        <v>0</v>
      </c>
      <c r="D36" s="248">
        <f ca="1">IF(A36="","",SUM(LU!W17,LU!W116))</f>
        <v>8</v>
      </c>
      <c r="E36" s="249">
        <f ca="1">IF(A36="","",SUM(LU!AC17,LU!AC116))</f>
        <v>13</v>
      </c>
      <c r="F36" s="379">
        <f ca="1">IF(A36="","",(SUM(C36:E36)-(SUMPRODUCT(--(Lineups!Y$4:Y$79=A36),--(Lineups!W$4:W$79="SP"))+SUMPRODUCT(--(Lineups!AB$4:AB$79=A36),--(Lineups!W$4:W$79="SP"))+SUMPRODUCT(--(Lineups!Y$88:Y$163=A36),--(Lineups!W$88:W$163="SP"))+SUMPRODUCT(--(Lineups!AB$88:AB$163=A36),--(Lineups!W$88:W$163="SP")))))</f>
        <v>21</v>
      </c>
      <c r="G36" s="380">
        <f ca="1">IF(OR(A36="",F36=0,LU!D$3+LU!D$102=0),"",F36/(LU!D$3+LU!D$102))</f>
        <v>0.47727272727272729</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51</v>
      </c>
      <c r="R36" s="248">
        <f ca="1">IF(OR(A36="",F36=0),"",SUM(LU!AJ86,LU!AJ185))</f>
        <v>86</v>
      </c>
      <c r="S36" s="365">
        <f ca="1">IF(OR(A36="",F36=0),"",SUM(LU!AJ40,LU!AJ139))</f>
        <v>-35</v>
      </c>
      <c r="T36" s="248" t="str">
        <f ca="1">IF(OR(A36="",C36=0),"",SUM(LU!AH40,LU!AH139))</f>
        <v/>
      </c>
      <c r="U36" s="253" t="str">
        <f t="shared" si="34"/>
        <v/>
      </c>
      <c r="V36" s="254">
        <f ca="1">IF(OR(A36="",D36=0),"",SUM(LU!W40,LU!W139))</f>
        <v>3</v>
      </c>
      <c r="W36" s="253">
        <f t="shared" ca="1" si="35"/>
        <v>0.375</v>
      </c>
      <c r="X36" s="254">
        <f ca="1">IF(OR(A36="",E36=0),"",SUM(LU!AC40,LU!AC139))</f>
        <v>-38</v>
      </c>
      <c r="Y36" s="253">
        <f t="shared" ca="1" si="36"/>
        <v>-2.9230769230769229</v>
      </c>
      <c r="Z36" s="385">
        <f t="shared" ca="1" si="37"/>
        <v>-1.6666666666666667</v>
      </c>
      <c r="AA36" s="255">
        <f ca="1">IF(OR(A36="",F36=0,Q$48="-",LU!$W$5=0),"",Q36-Q$48)</f>
        <v>15.200000000000003</v>
      </c>
      <c r="AB36" s="256">
        <f ca="1">IF(OR(A36="",F36=0,R$48="-",LU!$W$5=0),"",R36-R$48)</f>
        <v>38.666666666666664</v>
      </c>
      <c r="AC36" s="368">
        <f t="shared" ca="1" si="38"/>
        <v>-23.466666666666661</v>
      </c>
      <c r="AD36" s="389" t="str">
        <f t="shared" si="39"/>
        <v/>
      </c>
      <c r="AE36" s="389">
        <f t="shared" ca="1" si="40"/>
        <v>0.67771464646464641</v>
      </c>
      <c r="AF36" s="390">
        <f t="shared" ca="1" si="41"/>
        <v>-2.1857316702904939</v>
      </c>
      <c r="AG36" s="391">
        <f ca="1">IF(OR($A36="",Z36="",Z$48="-",LU!$W$5=0),"",Z36-Z$48)</f>
        <v>-0.9835853522695629</v>
      </c>
      <c r="AH36" s="1099">
        <f ca="1">IF(OR(A36="",F36=0),"",SUM(PT!V68,PT!V69))</f>
        <v>4</v>
      </c>
      <c r="AI36" s="1100"/>
      <c r="AJ36" s="364" t="str">
        <f t="shared" si="42"/>
        <v>7</v>
      </c>
      <c r="AK36" s="257" t="str">
        <f t="shared" si="31"/>
        <v>CottonCandy Princess</v>
      </c>
      <c r="AL36" s="258">
        <f ca="1">IF(OR($A36="",$F36=0),"",SUM(Actions!C34,Actions!J34))</f>
        <v>3</v>
      </c>
      <c r="AM36" s="259">
        <f ca="1">IF(OR($A36="",$F36=0),"",SUM(Actions!D34,Actions!K34))</f>
        <v>0</v>
      </c>
      <c r="AN36" s="259">
        <f ca="1">IF(OR($A36="",$F36=0),"",SUM(Actions!E34,Actions!L34))</f>
        <v>0</v>
      </c>
      <c r="AO36" s="259">
        <f ca="1">IF(OR($A36="",$F36=0),"",SUM(Actions!F34,Actions!M34))</f>
        <v>0</v>
      </c>
      <c r="AP36" s="259">
        <f ca="1">IF(OR($A36="",$F36=0),"",SUM(Actions!G34,Actions!N34))</f>
        <v>0</v>
      </c>
      <c r="AQ36" s="369">
        <f t="shared" si="43"/>
        <v>3</v>
      </c>
      <c r="AR36" s="252">
        <f ca="1">IF(OR($A36="",$F36=0),"",SUM(Actions!C62,Actions!J62))</f>
        <v>8</v>
      </c>
      <c r="AS36" s="248">
        <f ca="1">IF(OR($A36="",$F36=0),"",SUM(Actions!D62,Actions!K62))</f>
        <v>4</v>
      </c>
      <c r="AT36" s="248">
        <f ca="1">IF(OR($A36="",$F36=0),"",SUM(Actions!E62,Actions!L62))</f>
        <v>9</v>
      </c>
      <c r="AU36" s="248">
        <f ca="1">IF(OR($A36="",$F36=0),"",SUM(Actions!F62,Actions!M62))</f>
        <v>0</v>
      </c>
      <c r="AV36" s="248">
        <f ca="1">IF(OR($A36="",$F36=0),"",SUM(Actions!G62,Actions!N62))</f>
        <v>0</v>
      </c>
      <c r="AW36" s="365">
        <f t="shared" si="44"/>
        <v>21</v>
      </c>
      <c r="AX36" s="373">
        <f t="shared" si="45"/>
        <v>24</v>
      </c>
      <c r="AY36" s="374">
        <f t="shared" si="46"/>
        <v>0</v>
      </c>
      <c r="AZ36" s="370">
        <f t="shared" si="47"/>
        <v>0.14285714285714285</v>
      </c>
      <c r="BA36" s="260">
        <f t="shared" si="48"/>
        <v>8.3333333333333329E-2</v>
      </c>
      <c r="BB36" s="368">
        <f t="shared" si="49"/>
        <v>1</v>
      </c>
      <c r="BC36" s="261">
        <f t="shared" si="50"/>
        <v>0.13375796178343949</v>
      </c>
      <c r="BD36" s="375">
        <f t="shared" si="51"/>
        <v>1.1428571428571428</v>
      </c>
      <c r="BE36" s="376">
        <f t="shared" si="52"/>
        <v>0.12435233160621761</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72</v>
      </c>
      <c r="B37" s="247" t="str">
        <f ca="1">IF(ISBLANK(IBRF!$I20),"",IBRF!$I20)</f>
        <v>Demonica Mars</v>
      </c>
      <c r="C37" s="248">
        <f ca="1">IF(A37="","",SUM(LU!AH18,LU!AH117))</f>
        <v>1</v>
      </c>
      <c r="D37" s="248">
        <f ca="1">IF(A37="","",SUM(LU!W18,LU!W117))</f>
        <v>1</v>
      </c>
      <c r="E37" s="249">
        <f ca="1">IF(A37="","",SUM(LU!AC18,LU!AC117))</f>
        <v>7</v>
      </c>
      <c r="F37" s="379">
        <f ca="1">IF(A37="","",(SUM(C37:E37)-(SUMPRODUCT(--(Lineups!Y$4:Y$79=A37),--(Lineups!W$4:W$79="SP"))+SUMPRODUCT(--(Lineups!AB$4:AB$79=A37),--(Lineups!W$4:W$79="SP"))+SUMPRODUCT(--(Lineups!Y$88:Y$163=A37),--(Lineups!W$88:W$163="SP"))+SUMPRODUCT(--(Lineups!AB$88:AB$163=A37),--(Lineups!W$88:W$163="SP")))))</f>
        <v>8</v>
      </c>
      <c r="G37" s="380">
        <f ca="1">IF(OR(A37="",F37=0,LU!D$3+LU!D$102=0),"",F37/(LU!D$3+LU!D$102))</f>
        <v>0.18181818181818182</v>
      </c>
      <c r="H37" s="365">
        <f ca="1">IF(OR(C37=0,A37=""),"",SK!T201)</f>
        <v>0</v>
      </c>
      <c r="I37" s="383">
        <f ca="1">IF(OR(A37="",SK!U201="",SK!U201=0),"",H37/SK!U201)</f>
        <v>0</v>
      </c>
      <c r="J37" s="250">
        <f ca="1">IF(OR(C37=0,A37=""),"",SK!W201)</f>
        <v>1</v>
      </c>
      <c r="K37" s="366">
        <f ca="1">IF(OR(C37=0,A37=""),"",SK!X201)</f>
        <v>1</v>
      </c>
      <c r="L37" s="251">
        <f ca="1">IF(OR(C37=0,A37=""),"",SK!Z201)</f>
        <v>0</v>
      </c>
      <c r="M37" s="251">
        <f ca="1">IF(OR(C37=0,A37=""),"",SK!AB201)</f>
        <v>1</v>
      </c>
      <c r="N37" s="367">
        <f t="shared" ca="1" si="32"/>
        <v>1</v>
      </c>
      <c r="O37" s="384">
        <f ca="1">IF(OR(A37="",C37=0),"",SK!Y201)</f>
        <v>-12</v>
      </c>
      <c r="P37" s="385">
        <f t="shared" ca="1" si="33"/>
        <v>-12</v>
      </c>
      <c r="Q37" s="252">
        <f ca="1">IF(OR(A37="",F37=0),"",SUM(LU!AJ64,LU!AJ163))</f>
        <v>22</v>
      </c>
      <c r="R37" s="248">
        <f ca="1">IF(OR(A37="",F37=0),"",SUM(LU!AJ87,LU!AJ186))</f>
        <v>20</v>
      </c>
      <c r="S37" s="365">
        <f ca="1">IF(OR(A37="",F37=0),"",SUM(LU!AJ41,LU!AJ140))</f>
        <v>2</v>
      </c>
      <c r="T37" s="248">
        <f ca="1">IF(OR(A37="",C37=0),"",SUM(LU!AH41,LU!AH140))</f>
        <v>-13</v>
      </c>
      <c r="U37" s="253">
        <f t="shared" ca="1" si="34"/>
        <v>-13</v>
      </c>
      <c r="V37" s="254">
        <f ca="1">IF(OR(A37="",D37=0),"",SUM(LU!W41,LU!W140))</f>
        <v>1</v>
      </c>
      <c r="W37" s="253">
        <f t="shared" ca="1" si="35"/>
        <v>1</v>
      </c>
      <c r="X37" s="254">
        <f ca="1">IF(OR(A37="",E37=0),"",SUM(LU!AC41,LU!AC140))</f>
        <v>14</v>
      </c>
      <c r="Y37" s="253">
        <f t="shared" ca="1" si="36"/>
        <v>2</v>
      </c>
      <c r="Z37" s="385">
        <f t="shared" ca="1" si="37"/>
        <v>0.25</v>
      </c>
      <c r="AA37" s="255">
        <f ca="1">IF(OR(A37="",F37=0,Q$48="-",LU!$W$5=0),"",Q37-Q$48)</f>
        <v>-13.799999999999997</v>
      </c>
      <c r="AB37" s="256">
        <f ca="1">IF(OR(A37="",F37=0,R$48="-",LU!$W$5=0),"",R37-R$48)</f>
        <v>-27.333333333333336</v>
      </c>
      <c r="AC37" s="368">
        <f t="shared" ca="1" si="38"/>
        <v>13.533333333333339</v>
      </c>
      <c r="AD37" s="389">
        <f t="shared" ca="1" si="39"/>
        <v>-9.0370879120879124</v>
      </c>
      <c r="AE37" s="389">
        <f t="shared" ca="1" si="40"/>
        <v>1.3027146464646464</v>
      </c>
      <c r="AF37" s="390">
        <f t="shared" ca="1" si="41"/>
        <v>2.737345252786429</v>
      </c>
      <c r="AG37" s="391">
        <f ca="1">IF(OR($A37="",Z37="",Z$48="-",LU!$W$5=0),"",Z37-Z$48)</f>
        <v>0.93308131439710384</v>
      </c>
      <c r="AH37" s="1099">
        <f ca="1">IF(OR(A37="",F37=0),"",SUM(PT!V70,PT!V71))</f>
        <v>0</v>
      </c>
      <c r="AI37" s="1100"/>
      <c r="AJ37" s="364" t="str">
        <f t="shared" si="42"/>
        <v>72</v>
      </c>
      <c r="AK37" s="257" t="str">
        <f t="shared" si="31"/>
        <v>Demonica Mars</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1</v>
      </c>
      <c r="AS37" s="248">
        <f ca="1">IF(OR($A37="",$F37=0),"",SUM(Actions!D63,Actions!K63))</f>
        <v>1</v>
      </c>
      <c r="AT37" s="248">
        <f ca="1">IF(OR($A37="",$F37=0),"",SUM(Actions!E63,Actions!L63))</f>
        <v>0</v>
      </c>
      <c r="AU37" s="248">
        <f ca="1">IF(OR($A37="",$F37=0),"",SUM(Actions!F63,Actions!M63))</f>
        <v>0</v>
      </c>
      <c r="AV37" s="248">
        <f ca="1">IF(OR($A37="",$F37=0),"",SUM(Actions!G63,Actions!N63))</f>
        <v>0</v>
      </c>
      <c r="AW37" s="365">
        <f t="shared" si="44"/>
        <v>2</v>
      </c>
      <c r="AX37" s="373">
        <f t="shared" si="45"/>
        <v>2</v>
      </c>
      <c r="AY37" s="374">
        <f t="shared" si="46"/>
        <v>0</v>
      </c>
      <c r="AZ37" s="370">
        <f t="shared" si="47"/>
        <v>0</v>
      </c>
      <c r="BA37" s="260">
        <f t="shared" si="48"/>
        <v>0</v>
      </c>
      <c r="BB37" s="368">
        <f t="shared" si="49"/>
        <v>0.25</v>
      </c>
      <c r="BC37" s="261">
        <f t="shared" si="50"/>
        <v>1.2738853503184714E-2</v>
      </c>
      <c r="BD37" s="375">
        <f t="shared" si="51"/>
        <v>0.25</v>
      </c>
      <c r="BE37" s="376">
        <f t="shared" si="52"/>
        <v>1.0362694300518135E-2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t="str">
        <f t="shared" si="54"/>
        <v/>
      </c>
      <c r="BM37" s="377" t="str">
        <f t="shared" si="55"/>
        <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f t="shared" si="57"/>
        <v>0</v>
      </c>
    </row>
    <row r="38" spans="1:72" s="161" customFormat="1" ht="19.5" customHeight="1">
      <c r="A38" s="364" t="str">
        <f ca="1">IF(ISBLANK(IBRF!$H21),"",IBRF!$H21)</f>
        <v>9.81</v>
      </c>
      <c r="B38" s="247" t="str">
        <f ca="1">IF(ISBLANK(IBRF!$I21),"",IBRF!$I21)</f>
        <v>Uhura Belle Death</v>
      </c>
      <c r="C38" s="248">
        <f ca="1">IF(A38="","",SUM(LU!AH19,LU!AH118))</f>
        <v>13</v>
      </c>
      <c r="D38" s="248">
        <f ca="1">IF(A38="","",SUM(LU!W19,LU!W118))</f>
        <v>0</v>
      </c>
      <c r="E38" s="249">
        <f ca="1">IF(A38="","",SUM(LU!AC19,LU!AC118))</f>
        <v>0</v>
      </c>
      <c r="F38" s="379">
        <f ca="1">IF(A38="","",(SUM(C38:E38)-(SUMPRODUCT(--(Lineups!Y$4:Y$79=A38),--(Lineups!W$4:W$79="SP"))+SUMPRODUCT(--(Lineups!AB$4:AB$79=A38),--(Lineups!W$4:W$79="SP"))+SUMPRODUCT(--(Lineups!Y$88:Y$163=A38),--(Lineups!W$88:W$163="SP"))+SUMPRODUCT(--(Lineups!AB$88:AB$163=A38),--(Lineups!W$88:W$163="SP")))))</f>
        <v>13</v>
      </c>
      <c r="G38" s="380">
        <f ca="1">IF(OR(A38="",F38=0,LU!D$3+LU!D$102=0),"",F38/(LU!D$3+LU!D$102))</f>
        <v>0.29545454545454547</v>
      </c>
      <c r="H38" s="365">
        <f ca="1">IF(OR(C38=0,A38=""),"",SK!T204)</f>
        <v>27</v>
      </c>
      <c r="I38" s="383">
        <f ca="1">IF(OR(A38="",SK!U204="",SK!U204=0),"",H38/SK!U204)</f>
        <v>2.0769230769230771</v>
      </c>
      <c r="J38" s="250">
        <f ca="1">IF(OR(C38=0,A38=""),"",SK!W204)</f>
        <v>1</v>
      </c>
      <c r="K38" s="366">
        <f ca="1">IF(OR(C38=0,A38=""),"",SK!X204)</f>
        <v>4</v>
      </c>
      <c r="L38" s="251">
        <f ca="1">IF(OR(C38=0,A38=""),"",SK!Z204)</f>
        <v>4</v>
      </c>
      <c r="M38" s="251">
        <f ca="1">IF(OR(C38=0,A38=""),"",SK!AB204)</f>
        <v>0</v>
      </c>
      <c r="N38" s="367">
        <f t="shared" ca="1" si="32"/>
        <v>0.30769230769230771</v>
      </c>
      <c r="O38" s="384">
        <f ca="1">IF(OR(A38="",C38=0),"",SK!Y204)</f>
        <v>17</v>
      </c>
      <c r="P38" s="385">
        <f t="shared" ca="1" si="33"/>
        <v>4.25</v>
      </c>
      <c r="Q38" s="252">
        <f ca="1">IF(OR(A38="",F38=0),"",SUM(LU!AJ65,LU!AJ164))</f>
        <v>27</v>
      </c>
      <c r="R38" s="248">
        <f ca="1">IF(OR(A38="",F38=0),"",SUM(LU!AJ88,LU!AJ187))</f>
        <v>35</v>
      </c>
      <c r="S38" s="365">
        <f ca="1">IF(OR(A38="",F38=0),"",SUM(LU!AJ42,LU!AJ141))</f>
        <v>-8</v>
      </c>
      <c r="T38" s="248">
        <f ca="1">IF(OR(A38="",C38=0),"",SUM(LU!AH42,LU!AH141))</f>
        <v>-8</v>
      </c>
      <c r="U38" s="253">
        <f t="shared" ca="1" si="34"/>
        <v>-0.61538461538461542</v>
      </c>
      <c r="V38" s="254" t="str">
        <f ca="1">IF(OR(A38="",D38=0),"",SUM(LU!W42,LU!W141))</f>
        <v/>
      </c>
      <c r="W38" s="253" t="str">
        <f t="shared" si="35"/>
        <v/>
      </c>
      <c r="X38" s="254" t="str">
        <f ca="1">IF(OR(A38="",E38=0),"",SUM(LU!AC42,LU!AC141))</f>
        <v/>
      </c>
      <c r="Y38" s="253" t="str">
        <f t="shared" si="36"/>
        <v/>
      </c>
      <c r="Z38" s="385">
        <f t="shared" ca="1" si="37"/>
        <v>-0.61538461538461542</v>
      </c>
      <c r="AA38" s="255">
        <f ca="1">IF(OR(A38="",F38=0,Q$48="-",LU!$W$5=0),"",Q38-Q$48)</f>
        <v>-8.7999999999999972</v>
      </c>
      <c r="AB38" s="256">
        <f ca="1">IF(OR(A38="",F38=0,R$48="-",LU!$W$5=0),"",R38-R$48)</f>
        <v>-12.333333333333336</v>
      </c>
      <c r="AC38" s="368">
        <f t="shared" ca="1" si="38"/>
        <v>3.5333333333333385</v>
      </c>
      <c r="AD38" s="389">
        <f t="shared" ca="1" si="39"/>
        <v>3.3475274725274726</v>
      </c>
      <c r="AE38" s="389" t="str">
        <f t="shared" si="40"/>
        <v/>
      </c>
      <c r="AF38" s="390" t="str">
        <f t="shared" si="41"/>
        <v/>
      </c>
      <c r="AG38" s="391">
        <f ca="1">IF(OR($A38="",Z38="",Z$48="-",LU!$W$5=0),"",Z38-Z$48)</f>
        <v>6.7696699012488426E-2</v>
      </c>
      <c r="AH38" s="1099">
        <f ca="1">IF(OR(A38="",F38=0),"",SUM(PT!V72,PT!V73))</f>
        <v>1</v>
      </c>
      <c r="AI38" s="1100"/>
      <c r="AJ38" s="364" t="str">
        <f t="shared" si="42"/>
        <v>9.81</v>
      </c>
      <c r="AK38" s="257" t="str">
        <f t="shared" si="31"/>
        <v>Uhura Belle Death</v>
      </c>
      <c r="AL38" s="258">
        <f ca="1">IF(OR($A38="",$F38=0),"",SUM(Actions!C36,Actions!J36))</f>
        <v>0</v>
      </c>
      <c r="AM38" s="259">
        <f ca="1">IF(OR($A38="",$F38=0),"",SUM(Actions!D36,Actions!K36))</f>
        <v>0</v>
      </c>
      <c r="AN38" s="259">
        <f ca="1">IF(OR($A38="",$F38=0),"",SUM(Actions!E36,Actions!L36))</f>
        <v>0</v>
      </c>
      <c r="AO38" s="259">
        <f ca="1">IF(OR($A38="",$F38=0),"",SUM(Actions!F36,Actions!M36))</f>
        <v>0</v>
      </c>
      <c r="AP38" s="259">
        <f ca="1">IF(OR($A38="",$F38=0),"",SUM(Actions!G36,Actions!N36))</f>
        <v>0</v>
      </c>
      <c r="AQ38" s="369">
        <f t="shared" si="43"/>
        <v>0</v>
      </c>
      <c r="AR38" s="252">
        <f ca="1">IF(OR($A38="",$F38=0),"",SUM(Actions!C64,Actions!J64))</f>
        <v>0</v>
      </c>
      <c r="AS38" s="248">
        <f ca="1">IF(OR($A38="",$F38=0),"",SUM(Actions!D64,Actions!K64))</f>
        <v>0</v>
      </c>
      <c r="AT38" s="248">
        <f ca="1">IF(OR($A38="",$F38=0),"",SUM(Actions!E64,Actions!L64))</f>
        <v>0</v>
      </c>
      <c r="AU38" s="248">
        <f ca="1">IF(OR($A38="",$F38=0),"",SUM(Actions!F64,Actions!M64))</f>
        <v>0</v>
      </c>
      <c r="AV38" s="248">
        <f ca="1">IF(OR($A38="",$F38=0),"",SUM(Actions!G64,Actions!N64))</f>
        <v>0</v>
      </c>
      <c r="AW38" s="365">
        <f t="shared" si="44"/>
        <v>0</v>
      </c>
      <c r="AX38" s="373">
        <f t="shared" si="45"/>
        <v>0</v>
      </c>
      <c r="AY38" s="374">
        <f t="shared" si="46"/>
        <v>0</v>
      </c>
      <c r="AZ38" s="370">
        <f t="shared" si="47"/>
        <v>0</v>
      </c>
      <c r="BA38" s="260">
        <f t="shared" si="48"/>
        <v>0</v>
      </c>
      <c r="BB38" s="368">
        <f t="shared" si="49"/>
        <v>0</v>
      </c>
      <c r="BC38" s="261">
        <f t="shared" si="50"/>
        <v>0</v>
      </c>
      <c r="BD38" s="375">
        <f t="shared" si="51"/>
        <v>0</v>
      </c>
      <c r="BE38" s="376">
        <f t="shared" si="52"/>
        <v>0</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t="str">
        <f t="shared" si="54"/>
        <v/>
      </c>
      <c r="BM38" s="377" t="str">
        <f t="shared" si="55"/>
        <v/>
      </c>
      <c r="BN38" s="378" t="str">
        <f t="shared" si="56"/>
        <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f t="shared" si="57"/>
        <v>0</v>
      </c>
    </row>
    <row r="39" spans="1:72" s="161" customFormat="1" ht="20" customHeight="1">
      <c r="A39" s="364" t="str">
        <f ca="1">IF(ISBLANK(IBRF!$H22),"",IBRF!$H22)</f>
        <v>I-75</v>
      </c>
      <c r="B39" s="247" t="str">
        <f ca="1">IF(ISBLANK(IBRF!$I22),"",IBRF!$I22)</f>
        <v>Diesel Doll</v>
      </c>
      <c r="C39" s="248">
        <f ca="1">IF(A39="","",SUM(LU!AH20,LU!AH119))</f>
        <v>0</v>
      </c>
      <c r="D39" s="248">
        <f ca="1">IF(A39="","",SUM(LU!W20,LU!W119))</f>
        <v>16</v>
      </c>
      <c r="E39" s="249">
        <f ca="1">IF(A39="","",SUM(LU!AC20,LU!AC119))</f>
        <v>3</v>
      </c>
      <c r="F39" s="379">
        <f ca="1">IF(A39="","",(SUM(C39:E39)-(SUMPRODUCT(--(Lineups!Y$4:Y$79=A39),--(Lineups!W$4:W$79="SP"))+SUMPRODUCT(--(Lineups!AB$4:AB$79=A39),--(Lineups!W$4:W$79="SP"))+SUMPRODUCT(--(Lineups!Y$88:Y$163=A39),--(Lineups!W$88:W$163="SP"))+SUMPRODUCT(--(Lineups!AB$88:AB$163=A39),--(Lineups!W$88:W$163="SP")))))</f>
        <v>19</v>
      </c>
      <c r="G39" s="380">
        <f ca="1">IF(OR(A39="",F39=0,LU!D$3+LU!D$102=0),"",F39/(LU!D$3+LU!D$102))</f>
        <v>0.43181818181818182</v>
      </c>
      <c r="H39" s="365" t="str">
        <f ca="1">IF(OR(C39=0,A39=""),"",SK!T207)</f>
        <v/>
      </c>
      <c r="I39" s="383" t="str">
        <f ca="1">IF(OR(A39="",SK!U207="",SK!U207=0),"",H39/SK!U207)</f>
        <v/>
      </c>
      <c r="J39" s="250" t="str">
        <f ca="1">IF(OR(C39=0,A39=""),"",SK!W207)</f>
        <v/>
      </c>
      <c r="K39" s="366" t="str">
        <f ca="1">IF(OR(C39=0,A39=""),"",SK!X207)</f>
        <v/>
      </c>
      <c r="L39" s="251" t="str">
        <f ca="1">IF(OR(C39=0,A39=""),"",SK!Z207)</f>
        <v/>
      </c>
      <c r="M39" s="251" t="str">
        <f ca="1">IF(OR(C39=0,A39=""),"",SK!AB207)</f>
        <v/>
      </c>
      <c r="N39" s="367" t="str">
        <f t="shared" si="32"/>
        <v/>
      </c>
      <c r="O39" s="384" t="str">
        <f ca="1">IF(OR(A39="",C39=0),"",SK!Y207)</f>
        <v/>
      </c>
      <c r="P39" s="385" t="str">
        <f t="shared" si="33"/>
        <v/>
      </c>
      <c r="Q39" s="252">
        <f ca="1">IF(OR(A39="",F39=0),"",SUM(LU!AJ66,LU!AJ165))</f>
        <v>35</v>
      </c>
      <c r="R39" s="248">
        <f ca="1">IF(OR(A39="",F39=0),"",SUM(LU!AJ89,LU!AJ188))</f>
        <v>77</v>
      </c>
      <c r="S39" s="365">
        <f ca="1">IF(OR(A39="",F39=0),"",SUM(LU!AJ43,LU!AJ142))</f>
        <v>-42</v>
      </c>
      <c r="T39" s="248" t="str">
        <f ca="1">IF(OR(A39="",C39=0),"",SUM(LU!AH43,LU!AH142))</f>
        <v/>
      </c>
      <c r="U39" s="253" t="str">
        <f t="shared" si="34"/>
        <v/>
      </c>
      <c r="V39" s="254">
        <f ca="1">IF(OR(A39="",D39=0),"",SUM(LU!W43,LU!W142))</f>
        <v>-21</v>
      </c>
      <c r="W39" s="253">
        <f t="shared" ca="1" si="35"/>
        <v>-1.3125</v>
      </c>
      <c r="X39" s="254">
        <f ca="1">IF(OR(A39="",E39=0),"",SUM(LU!AC43,LU!AC142))</f>
        <v>-21</v>
      </c>
      <c r="Y39" s="253">
        <f t="shared" ca="1" si="36"/>
        <v>-7</v>
      </c>
      <c r="Z39" s="385">
        <f t="shared" ca="1" si="37"/>
        <v>-2.2105263157894739</v>
      </c>
      <c r="AA39" s="255">
        <f ca="1">IF(OR(A39="",F39=0,Q$48="-",LU!$W$5=0),"",Q39-Q$48)</f>
        <v>-0.79999999999999716</v>
      </c>
      <c r="AB39" s="256">
        <f ca="1">IF(OR(A39="",F39=0,R$48="-",LU!$W$5=0),"",R39-R$48)</f>
        <v>29.666666666666664</v>
      </c>
      <c r="AC39" s="368">
        <f t="shared" ca="1" si="38"/>
        <v>-30.466666666666661</v>
      </c>
      <c r="AD39" s="389" t="str">
        <f t="shared" si="39"/>
        <v/>
      </c>
      <c r="AE39" s="389">
        <f t="shared" ca="1" si="40"/>
        <v>-1.0097853535353536</v>
      </c>
      <c r="AF39" s="390">
        <f t="shared" ca="1" si="41"/>
        <v>-6.2626547472135705</v>
      </c>
      <c r="AG39" s="391">
        <f ca="1">IF(OR($A39="",Z39="",Z$48="-",LU!$W$5=0),"",Z39-Z$48)</f>
        <v>-1.5274450013923699</v>
      </c>
      <c r="AH39" s="1099">
        <f ca="1">IF(OR(A39="",F39=0),"",SUM(PT!V74,PT!V75))</f>
        <v>0</v>
      </c>
      <c r="AI39" s="1100"/>
      <c r="AJ39" s="364" t="str">
        <f t="shared" si="42"/>
        <v>I-75</v>
      </c>
      <c r="AK39" s="257" t="str">
        <f t="shared" si="31"/>
        <v>Diesel Doll</v>
      </c>
      <c r="AL39" s="258">
        <f ca="1">IF(OR($A39="",$F39=0),"",SUM(Actions!C37,Actions!J37))</f>
        <v>4</v>
      </c>
      <c r="AM39" s="259">
        <f ca="1">IF(OR($A39="",$F39=0),"",SUM(Actions!D37,Actions!K37))</f>
        <v>1</v>
      </c>
      <c r="AN39" s="259">
        <f ca="1">IF(OR($A39="",$F39=0),"",SUM(Actions!E37,Actions!L37))</f>
        <v>0</v>
      </c>
      <c r="AO39" s="259">
        <f ca="1">IF(OR($A39="",$F39=0),"",SUM(Actions!F37,Actions!M37))</f>
        <v>0</v>
      </c>
      <c r="AP39" s="259">
        <f ca="1">IF(OR($A39="",$F39=0),"",SUM(Actions!G37,Actions!N37))</f>
        <v>0</v>
      </c>
      <c r="AQ39" s="369">
        <f t="shared" si="43"/>
        <v>5</v>
      </c>
      <c r="AR39" s="252">
        <f ca="1">IF(OR($A39="",$F39=0),"",SUM(Actions!C65,Actions!J65))</f>
        <v>11</v>
      </c>
      <c r="AS39" s="248">
        <f ca="1">IF(OR($A39="",$F39=0),"",SUM(Actions!D65,Actions!K65))</f>
        <v>7</v>
      </c>
      <c r="AT39" s="248">
        <f ca="1">IF(OR($A39="",$F39=0),"",SUM(Actions!E65,Actions!L65))</f>
        <v>12</v>
      </c>
      <c r="AU39" s="248">
        <f ca="1">IF(OR($A39="",$F39=0),"",SUM(Actions!F65,Actions!M65))</f>
        <v>1</v>
      </c>
      <c r="AV39" s="248">
        <f ca="1">IF(OR($A39="",$F39=0),"",SUM(Actions!G65,Actions!N65))</f>
        <v>2</v>
      </c>
      <c r="AW39" s="365">
        <f t="shared" si="44"/>
        <v>33</v>
      </c>
      <c r="AX39" s="373">
        <f t="shared" si="45"/>
        <v>38</v>
      </c>
      <c r="AY39" s="374">
        <f t="shared" si="46"/>
        <v>2</v>
      </c>
      <c r="AZ39" s="370">
        <f t="shared" si="47"/>
        <v>0.26315789473684209</v>
      </c>
      <c r="BA39" s="260">
        <f t="shared" si="48"/>
        <v>0.1388888888888889</v>
      </c>
      <c r="BB39" s="368">
        <f t="shared" si="49"/>
        <v>1.736842105263158</v>
      </c>
      <c r="BC39" s="261">
        <f t="shared" si="50"/>
        <v>0.21019108280254778</v>
      </c>
      <c r="BD39" s="375">
        <f t="shared" si="51"/>
        <v>2</v>
      </c>
      <c r="BE39" s="376">
        <f t="shared" si="52"/>
        <v>0.19689119170984457</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t="str">
        <f t="shared" si="57"/>
        <v/>
      </c>
    </row>
    <row r="40" spans="1:72" s="161" customFormat="1" ht="20" customHeight="1">
      <c r="A40" s="364" t="str">
        <f ca="1">IF(ISBLANK(IBRF!$H23),"",IBRF!$H23)</f>
        <v>N2O</v>
      </c>
      <c r="B40" s="247" t="str">
        <f ca="1">IF(ISBLANK(IBRF!$I23),"",IBRF!$I23)</f>
        <v>Cool Whip</v>
      </c>
      <c r="C40" s="248">
        <f ca="1">IF(A40="","",SUM(LU!AH21,LU!AH120))</f>
        <v>0</v>
      </c>
      <c r="D40" s="248">
        <f ca="1">IF(A40="","",SUM(LU!W21,LU!W120))</f>
        <v>6</v>
      </c>
      <c r="E40" s="249">
        <f ca="1">IF(A40="","",SUM(LU!AC21,LU!AC120))</f>
        <v>17</v>
      </c>
      <c r="F40" s="379">
        <f ca="1">IF(A40="","",(SUM(C40:E40)-(SUMPRODUCT(--(Lineups!Y$4:Y$79=A40),--(Lineups!W$4:W$79="SP"))+SUMPRODUCT(--(Lineups!AB$4:AB$79=A40),--(Lineups!W$4:W$79="SP"))+SUMPRODUCT(--(Lineups!Y$88:Y$163=A40),--(Lineups!W$88:W$163="SP"))+SUMPRODUCT(--(Lineups!AB$88:AB$163=A40),--(Lineups!W$88:W$163="SP")))))</f>
        <v>23</v>
      </c>
      <c r="G40" s="380">
        <f ca="1">IF(OR(A40="",F40=0,LU!D$3+LU!D$102=0),"",F40/(LU!D$3+LU!D$102))</f>
        <v>0.52272727272727271</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75</v>
      </c>
      <c r="R40" s="248">
        <f ca="1">IF(OR(A40="",F40=0),"",SUM(LU!AJ90,LU!AJ189))</f>
        <v>73</v>
      </c>
      <c r="S40" s="365">
        <f ca="1">IF(OR(A40="",F40=0),"",SUM(LU!AJ44,LU!AJ143))</f>
        <v>2</v>
      </c>
      <c r="T40" s="248" t="str">
        <f ca="1">IF(OR(A40="",C40=0),"",SUM(LU!AH44,LU!AH143))</f>
        <v/>
      </c>
      <c r="U40" s="253" t="str">
        <f t="shared" si="34"/>
        <v/>
      </c>
      <c r="V40" s="254">
        <f ca="1">IF(OR(A40="",D40=0),"",SUM(LU!W44,LU!W143))</f>
        <v>28</v>
      </c>
      <c r="W40" s="253">
        <f t="shared" ca="1" si="35"/>
        <v>4.666666666666667</v>
      </c>
      <c r="X40" s="254">
        <f ca="1">IF(OR(A40="",E40=0),"",SUM(LU!AC44,LU!AC143))</f>
        <v>-26</v>
      </c>
      <c r="Y40" s="253">
        <f t="shared" ca="1" si="36"/>
        <v>-1.5294117647058822</v>
      </c>
      <c r="Z40" s="385">
        <f t="shared" ca="1" si="37"/>
        <v>8.6956521739130432E-2</v>
      </c>
      <c r="AA40" s="255">
        <f ca="1">IF(OR(A40="",F40=0,Q$48="-",LU!$W$5=0),"",Q40-Q$48)</f>
        <v>39.200000000000003</v>
      </c>
      <c r="AB40" s="256">
        <f ca="1">IF(OR(A40="",F40=0,R$48="-",LU!$W$5=0),"",R40-R$48)</f>
        <v>25.666666666666664</v>
      </c>
      <c r="AC40" s="368">
        <f t="shared" ca="1" si="38"/>
        <v>13.533333333333339</v>
      </c>
      <c r="AD40" s="389" t="str">
        <f t="shared" si="39"/>
        <v/>
      </c>
      <c r="AE40" s="389">
        <f t="shared" ca="1" si="40"/>
        <v>4.9693813131313131</v>
      </c>
      <c r="AF40" s="390">
        <f t="shared" ca="1" si="41"/>
        <v>-0.7920665119194531</v>
      </c>
      <c r="AG40" s="391">
        <f ca="1">IF(OR($A40="",Z40="",Z$48="-",LU!$W$5=0),"",Z40-Z$48)</f>
        <v>0.77003783613623433</v>
      </c>
      <c r="AH40" s="1099">
        <f ca="1">IF(OR(A40="",F40=0),"",SUM(PT!V76,PT!V77))</f>
        <v>2</v>
      </c>
      <c r="AI40" s="1100"/>
      <c r="AJ40" s="364" t="str">
        <f t="shared" si="42"/>
        <v>N2O</v>
      </c>
      <c r="AK40" s="257" t="str">
        <f t="shared" si="31"/>
        <v>Cool Whip</v>
      </c>
      <c r="AL40" s="258">
        <f ca="1">IF(OR($A40="",$F40=0),"",SUM(Actions!C38,Actions!J38))</f>
        <v>2</v>
      </c>
      <c r="AM40" s="259">
        <f ca="1">IF(OR($A40="",$F40=0),"",SUM(Actions!D38,Actions!K38))</f>
        <v>1</v>
      </c>
      <c r="AN40" s="259">
        <f ca="1">IF(OR($A40="",$F40=0),"",SUM(Actions!E38,Actions!L38))</f>
        <v>2</v>
      </c>
      <c r="AO40" s="259">
        <f ca="1">IF(OR($A40="",$F40=0),"",SUM(Actions!F38,Actions!M38))</f>
        <v>1</v>
      </c>
      <c r="AP40" s="259">
        <f ca="1">IF(OR($A40="",$F40=0),"",SUM(Actions!G38,Actions!N38))</f>
        <v>0</v>
      </c>
      <c r="AQ40" s="369">
        <f t="shared" si="43"/>
        <v>6</v>
      </c>
      <c r="AR40" s="252">
        <f ca="1">IF(OR($A40="",$F40=0),"",SUM(Actions!C66,Actions!J66))</f>
        <v>8</v>
      </c>
      <c r="AS40" s="248">
        <f ca="1">IF(OR($A40="",$F40=0),"",SUM(Actions!D66,Actions!K66))</f>
        <v>5</v>
      </c>
      <c r="AT40" s="248">
        <f ca="1">IF(OR($A40="",$F40=0),"",SUM(Actions!E66,Actions!L66))</f>
        <v>12</v>
      </c>
      <c r="AU40" s="248">
        <f ca="1">IF(OR($A40="",$F40=0),"",SUM(Actions!F66,Actions!M66))</f>
        <v>4</v>
      </c>
      <c r="AV40" s="248">
        <f ca="1">IF(OR($A40="",$F40=0),"",SUM(Actions!G66,Actions!N66))</f>
        <v>1</v>
      </c>
      <c r="AW40" s="365">
        <f t="shared" si="44"/>
        <v>30</v>
      </c>
      <c r="AX40" s="373">
        <f t="shared" si="45"/>
        <v>36</v>
      </c>
      <c r="AY40" s="374">
        <f t="shared" si="46"/>
        <v>5</v>
      </c>
      <c r="AZ40" s="370">
        <f t="shared" si="47"/>
        <v>0.2608695652173913</v>
      </c>
      <c r="BA40" s="260">
        <f t="shared" si="48"/>
        <v>0.16666666666666666</v>
      </c>
      <c r="BB40" s="368">
        <f t="shared" si="49"/>
        <v>1.3043478260869565</v>
      </c>
      <c r="BC40" s="261">
        <f t="shared" si="50"/>
        <v>0.19108280254777071</v>
      </c>
      <c r="BD40" s="375">
        <f t="shared" si="51"/>
        <v>1.5652173913043479</v>
      </c>
      <c r="BE40" s="376">
        <f t="shared" si="52"/>
        <v>0.18652849740932642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W00T</v>
      </c>
      <c r="B41" s="247" t="str">
        <f ca="1">IF(ISBLANK(IBRF!$I24),"",IBRF!$I24)</f>
        <v>Genniferal</v>
      </c>
      <c r="C41" s="248">
        <f ca="1">IF(A41="","",SUM(LU!AH22,LU!AH121))</f>
        <v>1</v>
      </c>
      <c r="D41" s="248">
        <f ca="1">IF(A41="","",SUM(LU!W22,LU!W121))</f>
        <v>11</v>
      </c>
      <c r="E41" s="249">
        <f ca="1">IF(A41="","",SUM(LU!AC22,LU!AC121))</f>
        <v>8</v>
      </c>
      <c r="F41" s="379">
        <f ca="1">IF(A41="","",(SUM(C41:E41)-(SUMPRODUCT(--(Lineups!Y$4:Y$79=A41),--(Lineups!W$4:W$79="SP"))+SUMPRODUCT(--(Lineups!AB$4:AB$79=A41),--(Lineups!W$4:W$79="SP"))+SUMPRODUCT(--(Lineups!Y$88:Y$163=A41),--(Lineups!W$88:W$163="SP"))+SUMPRODUCT(--(Lineups!AB$88:AB$163=A41),--(Lineups!W$88:W$163="SP")))))</f>
        <v>19</v>
      </c>
      <c r="G41" s="380">
        <f ca="1">IF(OR(A41="",F41=0,LU!D$3+LU!D$102=0),"",F41/(LU!D$3+LU!D$102))</f>
        <v>0.43181818181818182</v>
      </c>
      <c r="H41" s="365">
        <f ca="1">IF(OR(C41=0,A41=""),"",SK!T213)</f>
        <v>1</v>
      </c>
      <c r="I41" s="383">
        <f ca="1">IF(OR(A41="",SK!U213="",SK!U213=0),"",H41/SK!U213)</f>
        <v>1</v>
      </c>
      <c r="J41" s="250">
        <f ca="1">IF(OR(C41=0,A41=""),"",SK!W213)</f>
        <v>0</v>
      </c>
      <c r="K41" s="366">
        <f ca="1">IF(OR(C41=0,A41=""),"",SK!X213)</f>
        <v>0</v>
      </c>
      <c r="L41" s="251">
        <f ca="1">IF(OR(C41=0,A41=""),"",SK!Z213)</f>
        <v>0</v>
      </c>
      <c r="M41" s="251">
        <f ca="1">IF(OR(C41=0,A41=""),"",SK!AB213)</f>
        <v>0</v>
      </c>
      <c r="N41" s="367">
        <f t="shared" ca="1" si="32"/>
        <v>0</v>
      </c>
      <c r="O41" s="384">
        <f ca="1">IF(OR(A41="",C41=0),"",SK!Y213)</f>
        <v>0</v>
      </c>
      <c r="P41" s="385" t="str">
        <f t="shared" ca="1" si="33"/>
        <v/>
      </c>
      <c r="Q41" s="252">
        <f ca="1">IF(OR(A41="",F41=0),"",SUM(LU!AJ68,LU!AJ167))</f>
        <v>73</v>
      </c>
      <c r="R41" s="248">
        <f ca="1">IF(OR(A41="",F41=0),"",SUM(LU!AJ91,LU!AJ190))</f>
        <v>46</v>
      </c>
      <c r="S41" s="365">
        <f ca="1">IF(OR(A41="",F41=0),"",SUM(LU!AJ45,LU!AJ144))</f>
        <v>27</v>
      </c>
      <c r="T41" s="248">
        <f ca="1">IF(OR(A41="",C41=0),"",SUM(LU!AH45,LU!AH144))</f>
        <v>1</v>
      </c>
      <c r="U41" s="253">
        <f t="shared" ca="1" si="34"/>
        <v>1</v>
      </c>
      <c r="V41" s="254">
        <f ca="1">IF(OR(A41="",D41=0),"",SUM(LU!W45,LU!W144))</f>
        <v>-28</v>
      </c>
      <c r="W41" s="253">
        <f t="shared" ca="1" si="35"/>
        <v>-2.5454545454545454</v>
      </c>
      <c r="X41" s="254">
        <f ca="1">IF(OR(A41="",E41=0),"",SUM(LU!AC45,LU!AC144))</f>
        <v>54</v>
      </c>
      <c r="Y41" s="253">
        <f t="shared" ca="1" si="36"/>
        <v>6.75</v>
      </c>
      <c r="Z41" s="385">
        <f t="shared" ca="1" si="37"/>
        <v>1.4210526315789473</v>
      </c>
      <c r="AA41" s="255">
        <f ca="1">IF(OR(A41="",F41=0,Q$48="-",LU!$W$5=0),"",Q41-Q$48)</f>
        <v>37.200000000000003</v>
      </c>
      <c r="AB41" s="256">
        <f ca="1">IF(OR(A41="",F41=0,R$48="-",LU!$W$5=0),"",R41-R$48)</f>
        <v>-1.3333333333333357</v>
      </c>
      <c r="AC41" s="368">
        <f t="shared" ca="1" si="38"/>
        <v>38.533333333333339</v>
      </c>
      <c r="AD41" s="389">
        <f t="shared" ca="1" si="39"/>
        <v>4.9629120879120876</v>
      </c>
      <c r="AE41" s="389">
        <f t="shared" ca="1" si="40"/>
        <v>-2.2427398989898988</v>
      </c>
      <c r="AF41" s="390">
        <f t="shared" ca="1" si="41"/>
        <v>7.4873452527864295</v>
      </c>
      <c r="AG41" s="391">
        <f ca="1">IF(OR($A41="",Z41="",Z$48="-",LU!$W$5=0),"",Z41-Z$48)</f>
        <v>2.1041339459760513</v>
      </c>
      <c r="AH41" s="1099">
        <f ca="1">IF(OR(A41="",F41=0),"",SUM(PT!V78,PT!V79))</f>
        <v>0</v>
      </c>
      <c r="AI41" s="1100"/>
      <c r="AJ41" s="364" t="str">
        <f t="shared" si="42"/>
        <v>W00T</v>
      </c>
      <c r="AK41" s="257" t="str">
        <f t="shared" si="31"/>
        <v>Genniferal</v>
      </c>
      <c r="AL41" s="258">
        <f ca="1">IF(OR($A41="",$F41=0),"",SUM(Actions!C39,Actions!J39))</f>
        <v>1</v>
      </c>
      <c r="AM41" s="259">
        <f ca="1">IF(OR($A41="",$F41=0),"",SUM(Actions!D39,Actions!K39))</f>
        <v>0</v>
      </c>
      <c r="AN41" s="259">
        <f ca="1">IF(OR($A41="",$F41=0),"",SUM(Actions!E39,Actions!L39))</f>
        <v>0</v>
      </c>
      <c r="AO41" s="259">
        <f ca="1">IF(OR($A41="",$F41=0),"",SUM(Actions!F39,Actions!M39))</f>
        <v>1</v>
      </c>
      <c r="AP41" s="259">
        <f ca="1">IF(OR($A41="",$F41=0),"",SUM(Actions!G39,Actions!N39))</f>
        <v>0</v>
      </c>
      <c r="AQ41" s="369">
        <f t="shared" si="43"/>
        <v>2</v>
      </c>
      <c r="AR41" s="252">
        <f ca="1">IF(OR($A41="",$F41=0),"",SUM(Actions!C67,Actions!J67))</f>
        <v>4</v>
      </c>
      <c r="AS41" s="248">
        <f ca="1">IF(OR($A41="",$F41=0),"",SUM(Actions!D67,Actions!K67))</f>
        <v>1</v>
      </c>
      <c r="AT41" s="248">
        <f ca="1">IF(OR($A41="",$F41=0),"",SUM(Actions!E67,Actions!L67))</f>
        <v>2</v>
      </c>
      <c r="AU41" s="248">
        <f ca="1">IF(OR($A41="",$F41=0),"",SUM(Actions!F67,Actions!M67))</f>
        <v>4</v>
      </c>
      <c r="AV41" s="248">
        <f ca="1">IF(OR($A41="",$F41=0),"",SUM(Actions!G67,Actions!N67))</f>
        <v>1</v>
      </c>
      <c r="AW41" s="365">
        <f t="shared" si="44"/>
        <v>12</v>
      </c>
      <c r="AX41" s="373">
        <f t="shared" si="45"/>
        <v>14</v>
      </c>
      <c r="AY41" s="374">
        <f t="shared" si="46"/>
        <v>4</v>
      </c>
      <c r="AZ41" s="370">
        <f t="shared" si="47"/>
        <v>0.10526315789473684</v>
      </c>
      <c r="BA41" s="260">
        <f t="shared" si="48"/>
        <v>5.5555555555555552E-2</v>
      </c>
      <c r="BB41" s="368">
        <f t="shared" si="49"/>
        <v>0.63157894736842102</v>
      </c>
      <c r="BC41" s="261">
        <f t="shared" si="50"/>
        <v>7.6433121019108277E-2</v>
      </c>
      <c r="BD41" s="375">
        <f t="shared" si="51"/>
        <v>0.73684210526315785</v>
      </c>
      <c r="BE41" s="376">
        <f t="shared" si="52"/>
        <v>7.2538860103626937E-2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f t="shared" si="57"/>
        <v>0</v>
      </c>
    </row>
    <row r="42" spans="1:72" s="161" customFormat="1" ht="19.5" customHeight="1">
      <c r="A42" s="364" t="str">
        <f ca="1">IF(ISBLANK(IBRF!$H25),"",IBRF!$H25)</f>
        <v>Z28</v>
      </c>
      <c r="B42" s="247" t="str">
        <f ca="1">IF(ISBLANK(IBRF!$I25),"",IBRF!$I25)</f>
        <v>V8 Nightmare</v>
      </c>
      <c r="C42" s="248">
        <f ca="1">IF(A42="","",SUM(LU!AH23,LU!AH122))</f>
        <v>0</v>
      </c>
      <c r="D42" s="248">
        <f ca="1">IF(A42="","",SUM(LU!W23,LU!W122))</f>
        <v>0</v>
      </c>
      <c r="E42" s="249">
        <f ca="1">IF(A42="","",SUM(LU!AC23,LU!AC122))</f>
        <v>5</v>
      </c>
      <c r="F42" s="379">
        <f ca="1">IF(A42="","",(SUM(C42:E42)-(SUMPRODUCT(--(Lineups!Y$4:Y$79=A42),--(Lineups!W$4:W$79="SP"))+SUMPRODUCT(--(Lineups!AB$4:AB$79=A42),--(Lineups!W$4:W$79="SP"))+SUMPRODUCT(--(Lineups!Y$88:Y$163=A42),--(Lineups!W$88:W$163="SP"))+SUMPRODUCT(--(Lineups!AB$88:AB$163=A42),--(Lineups!W$88:W$163="SP")))))</f>
        <v>5</v>
      </c>
      <c r="G42" s="380">
        <f ca="1">IF(OR(A42="",F42=0,LU!D$3+LU!D$102=0),"",F42/(LU!D$3+LU!D$102))</f>
        <v>0.11363636363636363</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f ca="1">IF(OR(A42="",F42=0),"",SUM(LU!AJ69,LU!AJ168))</f>
        <v>7</v>
      </c>
      <c r="R42" s="248">
        <f ca="1">IF(OR(A42="",F42=0),"",SUM(LU!AJ92,LU!AJ191))</f>
        <v>10</v>
      </c>
      <c r="S42" s="365">
        <f ca="1">IF(OR(A42="",F42=0),"",SUM(LU!AJ46,LU!AJ145))</f>
        <v>-3</v>
      </c>
      <c r="T42" s="248" t="str">
        <f ca="1">IF(OR(A42="",C42=0),"",SUM(LU!AH46,LU!AH145))</f>
        <v/>
      </c>
      <c r="U42" s="253" t="str">
        <f t="shared" si="34"/>
        <v/>
      </c>
      <c r="V42" s="254" t="str">
        <f ca="1">IF(OR(A42="",D42=0),"",SUM(LU!W46,LU!W145))</f>
        <v/>
      </c>
      <c r="W42" s="253" t="str">
        <f t="shared" si="35"/>
        <v/>
      </c>
      <c r="X42" s="254">
        <f ca="1">IF(OR(A42="",E42=0),"",SUM(LU!AC46,LU!AC145))</f>
        <v>-3</v>
      </c>
      <c r="Y42" s="253">
        <f t="shared" ca="1" si="36"/>
        <v>-0.6</v>
      </c>
      <c r="Z42" s="385">
        <f t="shared" ca="1" si="37"/>
        <v>-0.6</v>
      </c>
      <c r="AA42" s="255">
        <f ca="1">IF(OR(A42="",F42=0,Q$48="-",LU!$W$5=0),"",Q42-Q$48)</f>
        <v>-28.799999999999997</v>
      </c>
      <c r="AB42" s="256">
        <f ca="1">IF(OR(A42="",F42=0,R$48="-",LU!$W$5=0),"",R42-R$48)</f>
        <v>-37.333333333333336</v>
      </c>
      <c r="AC42" s="368">
        <f t="shared" ca="1" si="38"/>
        <v>8.5333333333333385</v>
      </c>
      <c r="AD42" s="389" t="str">
        <f t="shared" si="39"/>
        <v/>
      </c>
      <c r="AE42" s="389" t="str">
        <f t="shared" si="40"/>
        <v/>
      </c>
      <c r="AF42" s="390">
        <f t="shared" ca="1" si="41"/>
        <v>0.13734525278642917</v>
      </c>
      <c r="AG42" s="391">
        <f ca="1">IF(OR($A42="",Z42="",Z$48="-",LU!$W$5=0),"",Z42-Z$48)</f>
        <v>8.3081314397103867E-2</v>
      </c>
      <c r="AH42" s="1099">
        <f ca="1">IF(OR(A42="",F42=0),"",SUM(PT!V80,PT!V81))</f>
        <v>0</v>
      </c>
      <c r="AI42" s="1100"/>
      <c r="AJ42" s="364" t="str">
        <f t="shared" si="42"/>
        <v>Z28</v>
      </c>
      <c r="AK42" s="257" t="str">
        <f t="shared" si="31"/>
        <v>V8 Nightmare</v>
      </c>
      <c r="AL42" s="258">
        <f ca="1">IF(OR($A42="",$F42=0),"",SUM(Actions!C40,Actions!J40))</f>
        <v>1</v>
      </c>
      <c r="AM42" s="259">
        <f ca="1">IF(OR($A42="",$F42=0),"",SUM(Actions!D40,Actions!K40))</f>
        <v>0</v>
      </c>
      <c r="AN42" s="259">
        <f ca="1">IF(OR($A42="",$F42=0),"",SUM(Actions!E40,Actions!L40))</f>
        <v>0</v>
      </c>
      <c r="AO42" s="259">
        <f ca="1">IF(OR($A42="",$F42=0),"",SUM(Actions!F40,Actions!M40))</f>
        <v>0</v>
      </c>
      <c r="AP42" s="259">
        <f ca="1">IF(OR($A42="",$F42=0),"",SUM(Actions!G40,Actions!N40))</f>
        <v>0</v>
      </c>
      <c r="AQ42" s="369">
        <f t="shared" si="43"/>
        <v>1</v>
      </c>
      <c r="AR42" s="252">
        <f ca="1">IF(OR($A42="",$F42=0),"",SUM(Actions!C68,Actions!J68))</f>
        <v>0</v>
      </c>
      <c r="AS42" s="248">
        <f ca="1">IF(OR($A42="",$F42=0),"",SUM(Actions!D68,Actions!K68))</f>
        <v>0</v>
      </c>
      <c r="AT42" s="248">
        <f ca="1">IF(OR($A42="",$F42=0),"",SUM(Actions!E68,Actions!L68))</f>
        <v>1</v>
      </c>
      <c r="AU42" s="248">
        <f ca="1">IF(OR($A42="",$F42=0),"",SUM(Actions!F68,Actions!M68))</f>
        <v>0</v>
      </c>
      <c r="AV42" s="248">
        <f ca="1">IF(OR($A42="",$F42=0),"",SUM(Actions!G68,Actions!N68))</f>
        <v>0</v>
      </c>
      <c r="AW42" s="365">
        <f t="shared" si="44"/>
        <v>1</v>
      </c>
      <c r="AX42" s="373">
        <f t="shared" si="45"/>
        <v>2</v>
      </c>
      <c r="AY42" s="374">
        <f t="shared" si="46"/>
        <v>0</v>
      </c>
      <c r="AZ42" s="370">
        <f t="shared" si="47"/>
        <v>0.2</v>
      </c>
      <c r="BA42" s="260">
        <f t="shared" si="48"/>
        <v>2.7777777777777776E-2</v>
      </c>
      <c r="BB42" s="368">
        <f t="shared" si="49"/>
        <v>0.2</v>
      </c>
      <c r="BC42" s="261">
        <f t="shared" si="50"/>
        <v>6.369426751592357E-3</v>
      </c>
      <c r="BD42" s="375">
        <f t="shared" si="51"/>
        <v>0.4</v>
      </c>
      <c r="BE42" s="376">
        <f t="shared" si="52"/>
        <v>1.0362694300518135E-2</v>
      </c>
      <c r="BF42" s="262">
        <f ca="1">IF(OR($A42="",$F42=0),"",SUM(Errors!C40,Errors!J40))</f>
        <v>0</v>
      </c>
      <c r="BG42" s="248">
        <f ca="1">IF(OR($A42="",$F42=0),"",SUM(Errors!D40,Errors!K40))</f>
        <v>0</v>
      </c>
      <c r="BH42" s="248">
        <f ca="1">IF(OR($A42="",$F42=0),"",SUM(Errors!E40,Errors!L40))</f>
        <v>0</v>
      </c>
      <c r="BI42" s="248">
        <f ca="1">IF(OR($A42="",$F42=0),"",SUM(Errors!F40,Errors!M40))</f>
        <v>0</v>
      </c>
      <c r="BJ42" s="263">
        <f ca="1">IF(OR($A42="",$F42=0),"",SUM(Errors!G40,Errors!N40))</f>
        <v>0</v>
      </c>
      <c r="BK42" s="365">
        <f t="shared" si="53"/>
        <v>0</v>
      </c>
      <c r="BL42" s="377">
        <f t="shared" si="54"/>
        <v>1</v>
      </c>
      <c r="BM42" s="377">
        <f t="shared" si="55"/>
        <v>1</v>
      </c>
      <c r="BN42" s="378" t="str">
        <f t="shared" si="56"/>
        <v/>
      </c>
      <c r="BO42" s="258">
        <f ca="1">IF(OR($A42="",$F42=0),"",SUM(Errors!C68,Errors!J68))</f>
        <v>0</v>
      </c>
      <c r="BP42" s="259">
        <f ca="1">IF(OR($A42="",$F42=0),"",SUM(Errors!D68,Errors!K68))</f>
        <v>0</v>
      </c>
      <c r="BQ42" s="259">
        <f ca="1">IF(OR($A42="",$F42=0),"",SUM(Errors!E68,Errors!L68))</f>
        <v>0</v>
      </c>
      <c r="BR42" s="259">
        <f ca="1">IF(OR($A42="",$F42=0),"",SUM(Errors!F68,Errors!M68))</f>
        <v>0</v>
      </c>
      <c r="BS42" s="259">
        <f ca="1">IF(OR($A42="",$F42=0),"",SUM(Errors!G68,Errors!N68))</f>
        <v>0</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99" t="str">
        <f ca="1">IF(OR(A43="",F43=0),"",SUM(PT!V82,PT!V83))</f>
        <v/>
      </c>
      <c r="AI43" s="1100"/>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99" t="str">
        <f ca="1">IF(OR(A44="",F44=0),"",SUM(PT!V84,PT!V85))</f>
        <v/>
      </c>
      <c r="AI44" s="1100"/>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99" t="str">
        <f ca="1">IF(OR(A45="",F45=0),"",SUM(PT!V86,PT!V87))</f>
        <v/>
      </c>
      <c r="AI45" s="1100"/>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99" t="str">
        <f ca="1">IF(OR(A46="",F46=0),"",SUM(PT!V88,PT!V89))</f>
        <v/>
      </c>
      <c r="AI46" s="1100"/>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101" t="str">
        <f ca="1">IF(OR(A47="",F47=0),"",SUM(PT!V90,PT!V91))</f>
        <v/>
      </c>
      <c r="AI47" s="1102"/>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116" t="s">
        <v>175</v>
      </c>
      <c r="B48" s="1116"/>
      <c r="C48" s="427">
        <f ca="1">SUM(C28:C47)</f>
        <v>45</v>
      </c>
      <c r="D48" s="427">
        <f ca="1">SUM(D28:D47)</f>
        <v>43</v>
      </c>
      <c r="E48" s="427">
        <f ca="1">SUM(E28:E47)</f>
        <v>134</v>
      </c>
      <c r="F48" s="427">
        <f ca="1">SUM(F28:F47)</f>
        <v>220</v>
      </c>
      <c r="G48" s="428">
        <f ca="1">IF(COUNT(G28:G47)=0,"-",SUM(G28:G47)/COUNT(G28:G47))</f>
        <v>0.33333333333333326</v>
      </c>
      <c r="H48" s="427">
        <f ca="1">SUM(H28:H47)</f>
        <v>108</v>
      </c>
      <c r="I48" s="429">
        <f ca="1">IF(LU!W3+LU!W102=0,"-",H48/(LU!W3+LU!W102))</f>
        <v>2.4545454545454546</v>
      </c>
      <c r="J48" s="430">
        <f ca="1">SUM(J28:J47)</f>
        <v>6</v>
      </c>
      <c r="K48" s="427">
        <f ca="1">SUM(K28:K47)</f>
        <v>20</v>
      </c>
      <c r="L48" s="427">
        <f ca="1">SUM(L28:L47)</f>
        <v>17</v>
      </c>
      <c r="M48" s="427">
        <f ca="1">SUM(M28:M47)</f>
        <v>1</v>
      </c>
      <c r="N48" s="431">
        <f ca="1">IF(C48=0,"-",K48/C48)</f>
        <v>0.44444444444444442</v>
      </c>
      <c r="O48" s="427">
        <f ca="1">SUM(O28:O47)</f>
        <v>58</v>
      </c>
      <c r="P48" s="432">
        <f t="shared" ref="P48:Z48" ca="1" si="58">IF(COUNT(P28:P47)=0,"-",SUM(P28:P47)/COUNT(P28:P47))</f>
        <v>-0.21249999999999991</v>
      </c>
      <c r="Q48" s="433">
        <f t="shared" ca="1" si="58"/>
        <v>35.799999999999997</v>
      </c>
      <c r="R48" s="434">
        <f t="shared" ca="1" si="58"/>
        <v>47.333333333333336</v>
      </c>
      <c r="S48" s="435">
        <f t="shared" ca="1" si="58"/>
        <v>-11.533333333333333</v>
      </c>
      <c r="T48" s="435">
        <f t="shared" ca="1" si="58"/>
        <v>-4.8571428571428568</v>
      </c>
      <c r="U48" s="435">
        <f t="shared" ca="1" si="58"/>
        <v>-3.962912087912088</v>
      </c>
      <c r="V48" s="435">
        <f t="shared" ca="1" si="58"/>
        <v>-3.5</v>
      </c>
      <c r="W48" s="435">
        <f t="shared" ca="1" si="58"/>
        <v>-0.30271464646464641</v>
      </c>
      <c r="X48" s="435">
        <f t="shared" ca="1" si="58"/>
        <v>-9.8333333333333339</v>
      </c>
      <c r="Y48" s="435">
        <f t="shared" ca="1" si="58"/>
        <v>-0.73734525278642915</v>
      </c>
      <c r="Z48" s="435">
        <f t="shared" ca="1" si="58"/>
        <v>-0.68308131439710384</v>
      </c>
      <c r="AA48" s="436" t="s">
        <v>176</v>
      </c>
      <c r="AB48" s="437" t="s">
        <v>176</v>
      </c>
      <c r="AC48" s="437" t="s">
        <v>176</v>
      </c>
      <c r="AD48" s="436" t="s">
        <v>176</v>
      </c>
      <c r="AE48" s="437" t="s">
        <v>176</v>
      </c>
      <c r="AF48" s="437" t="s">
        <v>176</v>
      </c>
      <c r="AG48" s="438" t="s">
        <v>176</v>
      </c>
      <c r="AH48" s="1097">
        <f>SUM(AH28:AI47)</f>
        <v>21</v>
      </c>
      <c r="AI48" s="1098"/>
      <c r="AJ48" s="1116" t="s">
        <v>175</v>
      </c>
      <c r="AK48" s="1116"/>
      <c r="AL48" s="430">
        <f t="shared" ref="AL48:AY48" si="59">SUM(AL28:AL47)</f>
        <v>27</v>
      </c>
      <c r="AM48" s="427">
        <f t="shared" si="59"/>
        <v>4</v>
      </c>
      <c r="AN48" s="427">
        <f t="shared" si="59"/>
        <v>2</v>
      </c>
      <c r="AO48" s="427">
        <f t="shared" si="59"/>
        <v>3</v>
      </c>
      <c r="AP48" s="427">
        <f t="shared" si="59"/>
        <v>0</v>
      </c>
      <c r="AQ48" s="439">
        <f t="shared" si="59"/>
        <v>36</v>
      </c>
      <c r="AR48" s="440">
        <f t="shared" si="59"/>
        <v>52</v>
      </c>
      <c r="AS48" s="427">
        <f t="shared" si="59"/>
        <v>29</v>
      </c>
      <c r="AT48" s="427">
        <f t="shared" si="59"/>
        <v>55</v>
      </c>
      <c r="AU48" s="427">
        <f t="shared" si="59"/>
        <v>15</v>
      </c>
      <c r="AV48" s="427">
        <f t="shared" si="59"/>
        <v>6</v>
      </c>
      <c r="AW48" s="427">
        <f t="shared" si="59"/>
        <v>157</v>
      </c>
      <c r="AX48" s="427">
        <f t="shared" si="59"/>
        <v>193</v>
      </c>
      <c r="AY48" s="439">
        <f t="shared" si="59"/>
        <v>19</v>
      </c>
      <c r="AZ48" s="441">
        <f>IF(F48=0,"-",AQ48/F48)</f>
        <v>0.16363636363636364</v>
      </c>
      <c r="BA48" s="442">
        <f>IF(COUNT(BA28:BA47)=0,"-",SUM(BA28:BA47)/COUNT(BA28:BA47))</f>
        <v>6.666666666666668E-2</v>
      </c>
      <c r="BB48" s="443">
        <f>IF(F48=0,"-",AW48/F48)</f>
        <v>0.71363636363636362</v>
      </c>
      <c r="BC48" s="442">
        <f>IF(COUNT(BC28:BC47)=0,"-",SUM(BC28:BC47)/COUNT(BC28:BC47))</f>
        <v>6.6666666666666666E-2</v>
      </c>
      <c r="BD48" s="443">
        <f>IF(F48=0,"-",AX48/F48)</f>
        <v>0.87727272727272732</v>
      </c>
      <c r="BE48" s="442">
        <f>IF(COUNT(BE28:BE47)=0,"-",SUM(BE28:BE47)/COUNT(BE28:BE47))</f>
        <v>6.666666666666668E-2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activeCell="A17" sqref="A17:C17"/>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41">
        <f ca="1">IF(IBRF!$B$5="","",IBRF!$B$5)</f>
        <v>41377</v>
      </c>
      <c r="B1" s="1141"/>
      <c r="C1" s="1141"/>
      <c r="D1" s="1140" t="s">
        <v>181</v>
      </c>
      <c r="E1" s="1140"/>
      <c r="F1" s="1140"/>
      <c r="G1" s="1140"/>
      <c r="H1" s="1140"/>
      <c r="I1" s="1140"/>
      <c r="J1" s="1140"/>
      <c r="K1" s="1140"/>
      <c r="L1" s="1140"/>
      <c r="M1" s="1140"/>
      <c r="N1" s="1140"/>
      <c r="O1" s="1140"/>
      <c r="P1" s="1140"/>
      <c r="Q1" s="1140"/>
      <c r="R1" s="1140"/>
      <c r="S1" s="1140"/>
      <c r="T1" s="1140"/>
      <c r="U1" s="1140"/>
      <c r="V1" s="1140"/>
      <c r="W1" s="1142" t="str">
        <f ca="1">IF(IBRF!$K$3="","","Bout "&amp;IBRF!$K$3)</f>
        <v>Bout 199</v>
      </c>
      <c r="X1" s="1142"/>
      <c r="Y1" s="1142"/>
    </row>
    <row r="2" spans="1:30" ht="60" customHeight="1" thickBot="1">
      <c r="A2" s="1143" t="str">
        <f ca="1">Score!A1</f>
        <v>Detroit Pistoffs</v>
      </c>
      <c r="B2" s="1143"/>
      <c r="C2" s="1143"/>
      <c r="D2" s="1124"/>
      <c r="E2" s="1124"/>
      <c r="F2" s="1124"/>
      <c r="G2" s="1124"/>
      <c r="H2" s="1124"/>
      <c r="I2" s="1124"/>
      <c r="J2" s="1124"/>
      <c r="K2" s="1124"/>
      <c r="L2" s="1124"/>
      <c r="M2" s="1124"/>
      <c r="N2" s="1124"/>
      <c r="O2" s="1124"/>
      <c r="P2" s="1124"/>
      <c r="Q2" s="1124"/>
      <c r="R2" s="1124"/>
      <c r="S2" s="1124"/>
      <c r="T2" s="1124"/>
      <c r="U2" s="448" t="s">
        <v>182</v>
      </c>
      <c r="V2" s="448"/>
      <c r="W2" s="1124" t="s">
        <v>183</v>
      </c>
      <c r="X2" s="1124"/>
      <c r="Y2" s="1124"/>
      <c r="Z2" s="272"/>
      <c r="AA2" s="272"/>
      <c r="AB2" s="272"/>
      <c r="AC2" s="272"/>
      <c r="AD2" s="161"/>
    </row>
    <row r="3" spans="1:30" ht="60.75" customHeight="1">
      <c r="A3" s="273" t="s">
        <v>524</v>
      </c>
      <c r="B3" s="1129" t="s">
        <v>184</v>
      </c>
      <c r="C3" s="1130"/>
      <c r="D3" s="274" t="s">
        <v>528</v>
      </c>
      <c r="E3" s="275" t="s">
        <v>377</v>
      </c>
      <c r="F3" s="276" t="s">
        <v>462</v>
      </c>
      <c r="G3" s="276" t="s">
        <v>373</v>
      </c>
      <c r="H3" s="276" t="s">
        <v>99</v>
      </c>
      <c r="I3" s="276" t="s">
        <v>100</v>
      </c>
      <c r="J3" s="276" t="s">
        <v>464</v>
      </c>
      <c r="K3" s="276" t="s">
        <v>101</v>
      </c>
      <c r="L3" s="276" t="s">
        <v>102</v>
      </c>
      <c r="M3" s="276" t="s">
        <v>242</v>
      </c>
      <c r="N3" s="276" t="s">
        <v>532</v>
      </c>
      <c r="O3" s="276" t="s">
        <v>103</v>
      </c>
      <c r="P3" s="276" t="s">
        <v>104</v>
      </c>
      <c r="Q3" s="1" t="s">
        <v>105</v>
      </c>
      <c r="R3" s="1" t="s">
        <v>516</v>
      </c>
      <c r="S3" s="1" t="s">
        <v>185</v>
      </c>
      <c r="T3" s="277" t="s">
        <v>106</v>
      </c>
      <c r="U3" s="278" t="s">
        <v>107</v>
      </c>
      <c r="V3" s="279" t="s">
        <v>245</v>
      </c>
      <c r="W3" s="279"/>
      <c r="X3" s="280" t="s">
        <v>108</v>
      </c>
      <c r="Y3" s="281" t="s">
        <v>109</v>
      </c>
      <c r="Z3" s="282"/>
      <c r="AA3" s="282"/>
      <c r="AB3" s="282"/>
      <c r="AC3" s="282"/>
      <c r="AD3" s="161"/>
    </row>
    <row r="4" spans="1:30" ht="25" customHeight="1">
      <c r="A4" s="587" t="str">
        <f ca="1">IF(IBRF!B11="","",IBRF!B11)</f>
        <v>138</v>
      </c>
      <c r="B4" s="1127" t="str">
        <f ca="1">IF(IBRF!C11="","",IBRF!C11)</f>
        <v>Mag Pie</v>
      </c>
      <c r="C4" s="1128"/>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0</v>
      </c>
      <c r="N4" s="577">
        <f ca="1">IF($A4="","",SUM(PT!O3,PT!O4))</f>
        <v>0</v>
      </c>
      <c r="O4" s="577">
        <f ca="1">IF($A4="","",SUM(PT!P3,PT!P4))</f>
        <v>0</v>
      </c>
      <c r="P4" s="577">
        <f ca="1">IF($A4="","",SUM(PT!Q3,PT!Q4))</f>
        <v>0</v>
      </c>
      <c r="Q4" s="577">
        <f ca="1">IF($A4="","",SUM(PT!R3,PT!R4))</f>
        <v>0</v>
      </c>
      <c r="R4" s="577">
        <f ca="1">IF($A4="","",SUM(PT!S3,PT!S4))</f>
        <v>0</v>
      </c>
      <c r="S4" s="582">
        <f ca="1">IF($A4="","",SUM(PT!T3,PT!T4))</f>
        <v>0</v>
      </c>
      <c r="T4" s="584">
        <f ca="1">IF($A4="","",SUM(D4:S4))</f>
        <v>0</v>
      </c>
      <c r="U4" s="588">
        <f ca="1">IF($A4="","",SUM(PT!V3,PT!V4))</f>
        <v>0</v>
      </c>
      <c r="V4" s="589" t="str">
        <f ca="1">IF($A4="","",PT!AJ4)</f>
        <v/>
      </c>
      <c r="W4" s="590"/>
      <c r="X4" s="591">
        <f ca="1">'Bout Summary'!F6</f>
        <v>11</v>
      </c>
      <c r="Y4" s="592">
        <f t="shared" ref="Y4:Y23" si="0">IF(OR(X4="",X4=0),"",U4/X4)</f>
        <v>0</v>
      </c>
      <c r="Z4" s="282"/>
      <c r="AA4" s="282"/>
      <c r="AB4" s="282"/>
      <c r="AC4" s="282"/>
      <c r="AD4" s="161"/>
    </row>
    <row r="5" spans="1:30" ht="25" customHeight="1">
      <c r="A5" s="586" t="str">
        <f ca="1">IF(IBRF!B12="","",IBRF!B12)</f>
        <v>181</v>
      </c>
      <c r="B5" s="1125" t="str">
        <f ca="1">IF(IBRF!C12="","",IBRF!C12)</f>
        <v>Vega Vendetta</v>
      </c>
      <c r="C5" s="1126"/>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1</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1</v>
      </c>
      <c r="U5" s="595">
        <f ca="1">IF($A5="","",SUM(PT!V5,PT!V6))</f>
        <v>1</v>
      </c>
      <c r="V5" s="596" t="str">
        <f ca="1">IF($A5="","",PT!AJ6)</f>
        <v/>
      </c>
      <c r="W5" s="597"/>
      <c r="X5" s="593">
        <f ca="1">'Bout Summary'!F7</f>
        <v>15</v>
      </c>
      <c r="Y5" s="594">
        <f t="shared" si="0"/>
        <v>6.6666666666666666E-2</v>
      </c>
      <c r="Z5" s="282"/>
      <c r="AA5" s="282"/>
      <c r="AB5" s="282"/>
      <c r="AC5" s="282"/>
      <c r="AD5" s="161"/>
    </row>
    <row r="6" spans="1:30" ht="25" customHeight="1">
      <c r="A6" s="587" t="str">
        <f ca="1">IF(IBRF!B13="","",IBRF!B13)</f>
        <v>1821</v>
      </c>
      <c r="B6" s="1127" t="str">
        <f ca="1">IF(IBRF!C13="","",IBRF!C13)</f>
        <v>Mexi-Go</v>
      </c>
      <c r="C6" s="1128"/>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0</v>
      </c>
      <c r="M6" s="577">
        <f ca="1">IF($A6="","",SUM(PT!N7,PT!N8))</f>
        <v>0</v>
      </c>
      <c r="N6" s="577">
        <f ca="1">IF($A6="","",SUM(PT!O7,PT!O8))</f>
        <v>0</v>
      </c>
      <c r="O6" s="577">
        <f ca="1">IF($A6="","",SUM(PT!P7,PT!P8))</f>
        <v>0</v>
      </c>
      <c r="P6" s="577">
        <f ca="1">IF($A6="","",SUM(PT!Q7,PT!Q8))</f>
        <v>0</v>
      </c>
      <c r="Q6" s="577">
        <f ca="1">IF($A6="","",SUM(PT!R7,PT!R8))</f>
        <v>0</v>
      </c>
      <c r="R6" s="577">
        <f ca="1">IF($A6="","",SUM(PT!S7,PT!S8))</f>
        <v>0</v>
      </c>
      <c r="S6" s="582">
        <f ca="1">IF($A6="","",SUM(PT!T7,PT!T8))</f>
        <v>0</v>
      </c>
      <c r="T6" s="584">
        <f t="shared" si="1"/>
        <v>0</v>
      </c>
      <c r="U6" s="588">
        <f ca="1">IF($A6="","",SUM(PT!V7,PT!V8))</f>
        <v>0</v>
      </c>
      <c r="V6" s="589" t="str">
        <f ca="1">IF($A6="","",PT!AJ8)</f>
        <v/>
      </c>
      <c r="W6" s="590"/>
      <c r="X6" s="591">
        <f ca="1">'Bout Summary'!F8</f>
        <v>18</v>
      </c>
      <c r="Y6" s="592">
        <f t="shared" si="0"/>
        <v>0</v>
      </c>
      <c r="Z6" s="282"/>
      <c r="AA6" s="282"/>
      <c r="AB6" s="282"/>
      <c r="AC6" s="282"/>
      <c r="AD6" s="161"/>
    </row>
    <row r="7" spans="1:30" ht="25" customHeight="1">
      <c r="A7" s="586" t="str">
        <f ca="1">IF(IBRF!B14="","",IBRF!B14)</f>
        <v>187</v>
      </c>
      <c r="B7" s="1125" t="str">
        <f ca="1">IF(IBRF!C14="","",IBRF!C14)</f>
        <v>VeroniKILL</v>
      </c>
      <c r="C7" s="1126"/>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0</v>
      </c>
      <c r="U7" s="595">
        <f ca="1">IF($A7="","",SUM(PT!V9,PT!V10))</f>
        <v>0</v>
      </c>
      <c r="V7" s="596" t="str">
        <f ca="1">IF($A7="","",PT!AJ10)</f>
        <v/>
      </c>
      <c r="W7" s="597"/>
      <c r="X7" s="593">
        <f ca="1">'Bout Summary'!F9</f>
        <v>15</v>
      </c>
      <c r="Y7" s="594">
        <f t="shared" si="0"/>
        <v>0</v>
      </c>
      <c r="Z7" s="282"/>
      <c r="AA7" s="282"/>
      <c r="AB7" s="282"/>
      <c r="AC7" s="282"/>
      <c r="AD7" s="161"/>
    </row>
    <row r="8" spans="1:30" ht="25" customHeight="1">
      <c r="A8" s="587" t="str">
        <f ca="1">IF(IBRF!B15="","",IBRF!B15)</f>
        <v>1879</v>
      </c>
      <c r="B8" s="1127" t="str">
        <f ca="1">IF(IBRF!C15="","",IBRF!C15)</f>
        <v>Belle Isle Hurtya</v>
      </c>
      <c r="C8" s="1128"/>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1</v>
      </c>
      <c r="N8" s="577">
        <f ca="1">IF($A8="","",SUM(PT!O11,PT!O12))</f>
        <v>0</v>
      </c>
      <c r="O8" s="577">
        <f ca="1">IF($A8="","",SUM(PT!P11,PT!P12))</f>
        <v>0</v>
      </c>
      <c r="P8" s="577">
        <f ca="1">IF($A8="","",SUM(PT!Q11,PT!Q12))</f>
        <v>0</v>
      </c>
      <c r="Q8" s="577">
        <f ca="1">IF($A8="","",SUM(PT!R11,PT!R12))</f>
        <v>0</v>
      </c>
      <c r="R8" s="577">
        <f ca="1">IF($A8="","",SUM(PT!S11,PT!S12))</f>
        <v>0</v>
      </c>
      <c r="S8" s="582">
        <f ca="1">IF($A8="","",SUM(PT!T11,PT!T12))</f>
        <v>0</v>
      </c>
      <c r="T8" s="584">
        <f t="shared" si="1"/>
        <v>1</v>
      </c>
      <c r="U8" s="588">
        <f ca="1">IF($A8="","",SUM(PT!V11,PT!V12))</f>
        <v>1</v>
      </c>
      <c r="V8" s="589" t="str">
        <f ca="1">IF($A8="","",PT!AJ12)</f>
        <v/>
      </c>
      <c r="W8" s="590"/>
      <c r="X8" s="591">
        <f ca="1">'Bout Summary'!F10</f>
        <v>9</v>
      </c>
      <c r="Y8" s="592">
        <f t="shared" si="0"/>
        <v>0.1111111111111111</v>
      </c>
      <c r="Z8" s="282"/>
      <c r="AA8" s="282"/>
      <c r="AB8" s="282"/>
      <c r="AC8" s="282"/>
      <c r="AD8" s="161"/>
    </row>
    <row r="9" spans="1:30" ht="25" customHeight="1">
      <c r="A9" s="586" t="str">
        <f ca="1">IF(IBRF!B16="","",IBRF!B16)</f>
        <v>20</v>
      </c>
      <c r="B9" s="1125" t="str">
        <f ca="1">IF(IBRF!C16="","",IBRF!C16)</f>
        <v>Devil Kitty</v>
      </c>
      <c r="C9" s="1126"/>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0</v>
      </c>
      <c r="N9" s="581">
        <f ca="1">IF($A9="","",SUM(PT!O13,PT!O14))</f>
        <v>0</v>
      </c>
      <c r="O9" s="581">
        <f ca="1">IF($A9="","",SUM(PT!P13,PT!P14))</f>
        <v>0</v>
      </c>
      <c r="P9" s="581">
        <f ca="1">IF($A9="","",SUM(PT!Q13,PT!Q14))</f>
        <v>0</v>
      </c>
      <c r="Q9" s="581">
        <f ca="1">IF($A9="","",SUM(PT!R13,PT!R14))</f>
        <v>0</v>
      </c>
      <c r="R9" s="581">
        <f ca="1">IF($A9="","",SUM(PT!S13,PT!S14))</f>
        <v>0</v>
      </c>
      <c r="S9" s="581">
        <f ca="1">IF($A9="","",SUM(PT!T13,PT!T14))</f>
        <v>0</v>
      </c>
      <c r="T9" s="585">
        <f t="shared" si="1"/>
        <v>0</v>
      </c>
      <c r="U9" s="595">
        <f ca="1">IF($A9="","",SUM(PT!V13,PT!V14))</f>
        <v>0</v>
      </c>
      <c r="V9" s="596" t="str">
        <f ca="1">IF($A9="","",PT!AJ14)</f>
        <v/>
      </c>
      <c r="W9" s="597"/>
      <c r="X9" s="593">
        <f ca="1">'Bout Summary'!F11</f>
        <v>16</v>
      </c>
      <c r="Y9" s="594">
        <f t="shared" si="0"/>
        <v>0</v>
      </c>
      <c r="Z9" s="282"/>
      <c r="AA9" s="282"/>
      <c r="AB9" s="282"/>
      <c r="AC9" s="282"/>
      <c r="AD9" s="161"/>
    </row>
    <row r="10" spans="1:30" ht="25" customHeight="1">
      <c r="A10" s="587" t="str">
        <f ca="1">IF(IBRF!B17="","",IBRF!B17)</f>
        <v>20KN</v>
      </c>
      <c r="B10" s="1127" t="str">
        <f ca="1">IF(IBRF!C17="","",IBRF!C17)</f>
        <v>Kraken Whips</v>
      </c>
      <c r="C10" s="1128"/>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0</v>
      </c>
      <c r="M10" s="577">
        <f ca="1">IF($A10="","",SUM(PT!N15,PT!N16))</f>
        <v>0</v>
      </c>
      <c r="N10" s="577">
        <f ca="1">IF($A10="","",SUM(PT!O15,PT!O16))</f>
        <v>1</v>
      </c>
      <c r="O10" s="577">
        <f ca="1">IF($A10="","",SUM(PT!P15,PT!P16))</f>
        <v>0</v>
      </c>
      <c r="P10" s="577">
        <f ca="1">IF($A10="","",SUM(PT!Q15,PT!Q16))</f>
        <v>0</v>
      </c>
      <c r="Q10" s="577">
        <f ca="1">IF($A10="","",SUM(PT!R15,PT!R16))</f>
        <v>0</v>
      </c>
      <c r="R10" s="577">
        <f ca="1">IF($A10="","",SUM(PT!S15,PT!S16))</f>
        <v>0</v>
      </c>
      <c r="S10" s="582">
        <f ca="1">IF($A10="","",SUM(PT!T15,PT!T16))</f>
        <v>0</v>
      </c>
      <c r="T10" s="584">
        <f t="shared" si="1"/>
        <v>1</v>
      </c>
      <c r="U10" s="588">
        <f ca="1">IF($A10="","",SUM(PT!V15,PT!V16))</f>
        <v>1</v>
      </c>
      <c r="V10" s="589" t="str">
        <f ca="1">IF($A10="","",PT!AJ16)</f>
        <v/>
      </c>
      <c r="W10" s="590"/>
      <c r="X10" s="591">
        <f ca="1">'Bout Summary'!F12</f>
        <v>12</v>
      </c>
      <c r="Y10" s="592">
        <f t="shared" si="0"/>
        <v>8.3333333333333329E-2</v>
      </c>
      <c r="Z10" s="282"/>
      <c r="AA10" s="282"/>
      <c r="AB10" s="282"/>
      <c r="AC10" s="282"/>
      <c r="AD10" s="161"/>
    </row>
    <row r="11" spans="1:30" ht="25" customHeight="1">
      <c r="A11" s="586" t="str">
        <f ca="1">IF(IBRF!B18="","",IBRF!B18)</f>
        <v>212</v>
      </c>
      <c r="B11" s="1125" t="str">
        <f ca="1">IF(IBRF!C18="","",IBRF!C18)</f>
        <v>Wham!tramck</v>
      </c>
      <c r="C11" s="1126"/>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1</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1</v>
      </c>
      <c r="U11" s="595">
        <f ca="1">IF($A11="","",SUM(PT!V17,PT!V18))</f>
        <v>1</v>
      </c>
      <c r="V11" s="596" t="str">
        <f ca="1">IF($A11="","",PT!AJ18)</f>
        <v/>
      </c>
      <c r="W11" s="597"/>
      <c r="X11" s="593">
        <f ca="1">'Bout Summary'!F13</f>
        <v>16</v>
      </c>
      <c r="Y11" s="594">
        <f t="shared" si="0"/>
        <v>6.25E-2</v>
      </c>
      <c r="Z11" s="282"/>
      <c r="AA11" s="282"/>
      <c r="AB11" s="282"/>
      <c r="AC11" s="282"/>
      <c r="AD11" s="161"/>
    </row>
    <row r="12" spans="1:30" ht="25" customHeight="1">
      <c r="A12" s="587" t="str">
        <f ca="1">IF(IBRF!B19="","",IBRF!B19)</f>
        <v>33 1/3</v>
      </c>
      <c r="B12" s="1127" t="str">
        <f ca="1">IF(IBRF!C19="","",IBRF!C19)</f>
        <v>Cookie Rumble</v>
      </c>
      <c r="C12" s="1128"/>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1</v>
      </c>
      <c r="M12" s="577">
        <f ca="1">IF($A12="","",SUM(PT!N19,PT!N20))</f>
        <v>0</v>
      </c>
      <c r="N12" s="577">
        <f ca="1">IF($A12="","",SUM(PT!O19,PT!O20))</f>
        <v>1</v>
      </c>
      <c r="O12" s="577">
        <f ca="1">IF($A12="","",SUM(PT!P19,PT!P20))</f>
        <v>0</v>
      </c>
      <c r="P12" s="577">
        <f ca="1">IF($A12="","",SUM(PT!Q19,PT!Q20))</f>
        <v>0</v>
      </c>
      <c r="Q12" s="577">
        <f ca="1">IF($A12="","",SUM(PT!R19,PT!R20))</f>
        <v>0</v>
      </c>
      <c r="R12" s="577">
        <f ca="1">IF($A12="","",SUM(PT!S19,PT!S20))</f>
        <v>0</v>
      </c>
      <c r="S12" s="582">
        <f ca="1">IF($A12="","",SUM(PT!T19,PT!T20))</f>
        <v>0</v>
      </c>
      <c r="T12" s="584">
        <f t="shared" si="1"/>
        <v>2</v>
      </c>
      <c r="U12" s="588">
        <f ca="1">IF($A12="","",SUM(PT!V19,PT!V20))</f>
        <v>2</v>
      </c>
      <c r="V12" s="589" t="str">
        <f ca="1">IF($A12="","",PT!AJ20)</f>
        <v/>
      </c>
      <c r="W12" s="590"/>
      <c r="X12" s="591">
        <f ca="1">'Bout Summary'!F14</f>
        <v>25</v>
      </c>
      <c r="Y12" s="592">
        <f t="shared" si="0"/>
        <v>0.08</v>
      </c>
      <c r="Z12" s="282"/>
      <c r="AA12" s="282"/>
      <c r="AB12" s="282"/>
      <c r="AC12" s="282"/>
      <c r="AD12" s="161"/>
    </row>
    <row r="13" spans="1:30" ht="25" customHeight="1">
      <c r="A13" s="586" t="str">
        <f ca="1">IF(IBRF!B20="","",IBRF!B20)</f>
        <v>428</v>
      </c>
      <c r="B13" s="1125" t="str">
        <f ca="1">IF(IBRF!C20="","",IBRF!C20)</f>
        <v>Freakin' Rican</v>
      </c>
      <c r="C13" s="1126"/>
      <c r="D13" s="578">
        <f ca="1">IF($A13="","",SUM(PT!E21,PT!E22))</f>
        <v>0</v>
      </c>
      <c r="E13" s="579">
        <f ca="1">IF($A13="","",SUM(PT!F21,PT!F22))</f>
        <v>0</v>
      </c>
      <c r="F13" s="580">
        <f ca="1">IF($A13="","",SUM(PT!G21,PT!G22))</f>
        <v>0</v>
      </c>
      <c r="G13" s="581">
        <f ca="1">IF($A13="","",SUM(PT!H21,PT!H22))</f>
        <v>0</v>
      </c>
      <c r="H13" s="581">
        <f ca="1">IF($A13="","",SUM(PT!I21,PT!I22))</f>
        <v>0</v>
      </c>
      <c r="I13" s="581">
        <f ca="1">IF($A13="","",SUM(PT!J21,PT!J22))</f>
        <v>0</v>
      </c>
      <c r="J13" s="581">
        <f ca="1">IF($A13="","",SUM(PT!K21,PT!K22))</f>
        <v>0</v>
      </c>
      <c r="K13" s="581">
        <f ca="1">IF($A13="","",SUM(PT!L21,PT!L22))</f>
        <v>0</v>
      </c>
      <c r="L13" s="581">
        <f ca="1">IF($A13="","",SUM(PT!M21,PT!M22))</f>
        <v>0</v>
      </c>
      <c r="M13" s="581">
        <f ca="1">IF($A13="","",SUM(PT!N21,PT!N22))</f>
        <v>0</v>
      </c>
      <c r="N13" s="581">
        <f ca="1">IF($A13="","",SUM(PT!O21,PT!O22))</f>
        <v>1</v>
      </c>
      <c r="O13" s="581">
        <f ca="1">IF($A13="","",SUM(PT!P21,PT!P22))</f>
        <v>0</v>
      </c>
      <c r="P13" s="581">
        <f ca="1">IF($A13="","",SUM(PT!Q21,PT!Q22))</f>
        <v>0</v>
      </c>
      <c r="Q13" s="581">
        <f ca="1">IF($A13="","",SUM(PT!R21,PT!R22))</f>
        <v>0</v>
      </c>
      <c r="R13" s="581">
        <f ca="1">IF($A13="","",SUM(PT!S21,PT!S22))</f>
        <v>0</v>
      </c>
      <c r="S13" s="581">
        <f ca="1">IF($A13="","",SUM(PT!T21,PT!T22))</f>
        <v>0</v>
      </c>
      <c r="T13" s="585">
        <f t="shared" si="1"/>
        <v>1</v>
      </c>
      <c r="U13" s="595">
        <f ca="1">IF($A13="","",SUM(PT!V21,PT!V22))</f>
        <v>1</v>
      </c>
      <c r="V13" s="596" t="str">
        <f ca="1">IF($A13="","",PT!AJ22)</f>
        <v/>
      </c>
      <c r="W13" s="597"/>
      <c r="X13" s="593">
        <f ca="1">'Bout Summary'!F15</f>
        <v>17</v>
      </c>
      <c r="Y13" s="594">
        <f t="shared" si="0"/>
        <v>5.8823529411764705E-2</v>
      </c>
      <c r="Z13" s="282"/>
      <c r="AA13" s="282"/>
      <c r="AB13" s="282"/>
      <c r="AC13" s="282"/>
      <c r="AD13" s="161"/>
    </row>
    <row r="14" spans="1:30" ht="25" customHeight="1">
      <c r="A14" s="587" t="str">
        <f ca="1">IF(IBRF!B21="","",IBRF!B21)</f>
        <v>6</v>
      </c>
      <c r="B14" s="1127" t="str">
        <f ca="1">IF(IBRF!C21="","",IBRF!C21)</f>
        <v>Elle McFearsome</v>
      </c>
      <c r="C14" s="1128"/>
      <c r="D14" s="583">
        <f ca="1">IF($A14="","",SUM(PT!E23,PT!E24))</f>
        <v>0</v>
      </c>
      <c r="E14" s="577">
        <f ca="1">IF($A14="","",SUM(PT!F23,PT!F24))</f>
        <v>0</v>
      </c>
      <c r="F14" s="577">
        <f ca="1">IF($A14="","",SUM(PT!G23,PT!G24))</f>
        <v>1</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1</v>
      </c>
      <c r="O14" s="577">
        <f ca="1">IF($A14="","",SUM(PT!P23,PT!P24))</f>
        <v>0</v>
      </c>
      <c r="P14" s="577">
        <f ca="1">IF($A14="","",SUM(PT!Q23,PT!Q24))</f>
        <v>1</v>
      </c>
      <c r="Q14" s="577">
        <f ca="1">IF($A14="","",SUM(PT!R23,PT!R24))</f>
        <v>0</v>
      </c>
      <c r="R14" s="577">
        <f ca="1">IF($A14="","",SUM(PT!S23,PT!S24))</f>
        <v>0</v>
      </c>
      <c r="S14" s="582">
        <f ca="1">IF($A14="","",SUM(PT!T23,PT!T24))</f>
        <v>0</v>
      </c>
      <c r="T14" s="584">
        <f t="shared" si="1"/>
        <v>3</v>
      </c>
      <c r="U14" s="588">
        <f ca="1">IF($A14="","",SUM(PT!V23,PT!V24))</f>
        <v>3</v>
      </c>
      <c r="V14" s="589" t="str">
        <f ca="1">IF($A14="","",PT!AJ24)</f>
        <v/>
      </c>
      <c r="W14" s="590"/>
      <c r="X14" s="591">
        <f ca="1">'Bout Summary'!F16</f>
        <v>22</v>
      </c>
      <c r="Y14" s="592">
        <f t="shared" si="0"/>
        <v>0.13636363636363635</v>
      </c>
      <c r="Z14" s="282"/>
      <c r="AA14" s="282"/>
      <c r="AB14" s="282"/>
      <c r="AC14" s="282"/>
      <c r="AD14" s="161"/>
    </row>
    <row r="15" spans="1:30" ht="25" customHeight="1">
      <c r="A15" s="586" t="str">
        <f ca="1">IF(IBRF!B22="","",IBRF!B22)</f>
        <v>728</v>
      </c>
      <c r="B15" s="1125" t="str">
        <f ca="1">IF(IBRF!C22="","",IBRF!C22)</f>
        <v>Combat Cat</v>
      </c>
      <c r="C15" s="1126"/>
      <c r="D15" s="578">
        <f ca="1">IF($A15="","",SUM(PT!E25,PT!E26))</f>
        <v>0</v>
      </c>
      <c r="E15" s="579">
        <f ca="1">IF($A15="","",SUM(PT!F25,PT!F26))</f>
        <v>0</v>
      </c>
      <c r="F15" s="580">
        <f ca="1">IF($A15="","",SUM(PT!G25,PT!G26))</f>
        <v>0</v>
      </c>
      <c r="G15" s="581">
        <f ca="1">IF($A15="","",SUM(PT!H25,PT!H26))</f>
        <v>0</v>
      </c>
      <c r="H15" s="581">
        <f ca="1">IF($A15="","",SUM(PT!I25,PT!I26))</f>
        <v>1</v>
      </c>
      <c r="I15" s="581">
        <f ca="1">IF($A15="","",SUM(PT!J25,PT!J26))</f>
        <v>0</v>
      </c>
      <c r="J15" s="581">
        <f ca="1">IF($A15="","",SUM(PT!K25,PT!K26))</f>
        <v>0</v>
      </c>
      <c r="K15" s="581">
        <f ca="1">IF($A15="","",SUM(PT!L25,PT!L26))</f>
        <v>0</v>
      </c>
      <c r="L15" s="581">
        <f ca="1">IF($A15="","",SUM(PT!M25,PT!M26))</f>
        <v>0</v>
      </c>
      <c r="M15" s="581">
        <f ca="1">IF($A15="","",SUM(PT!N25,PT!N26))</f>
        <v>0</v>
      </c>
      <c r="N15" s="581">
        <f ca="1">IF($A15="","",SUM(PT!O25,PT!O26))</f>
        <v>2</v>
      </c>
      <c r="O15" s="581">
        <f ca="1">IF($A15="","",SUM(PT!P25,PT!P26))</f>
        <v>0</v>
      </c>
      <c r="P15" s="581">
        <f ca="1">IF($A15="","",SUM(PT!Q25,PT!Q26))</f>
        <v>0</v>
      </c>
      <c r="Q15" s="581">
        <f ca="1">IF($A15="","",SUM(PT!R25,PT!R26))</f>
        <v>0</v>
      </c>
      <c r="R15" s="581">
        <f ca="1">IF($A15="","",SUM(PT!S25,PT!S26))</f>
        <v>0</v>
      </c>
      <c r="S15" s="581">
        <f ca="1">IF($A15="","",SUM(PT!T25,PT!T26))</f>
        <v>0</v>
      </c>
      <c r="T15" s="585">
        <f t="shared" si="1"/>
        <v>3</v>
      </c>
      <c r="U15" s="595">
        <f ca="1">IF($A15="","",SUM(PT!V25,PT!V26))</f>
        <v>3</v>
      </c>
      <c r="V15" s="596" t="str">
        <f ca="1">IF($A15="","",PT!AJ26)</f>
        <v/>
      </c>
      <c r="W15" s="597"/>
      <c r="X15" s="593">
        <f ca="1">'Bout Summary'!F17</f>
        <v>20</v>
      </c>
      <c r="Y15" s="594">
        <f t="shared" si="0"/>
        <v>0.15</v>
      </c>
      <c r="Z15" s="282"/>
      <c r="AA15" s="282"/>
      <c r="AB15" s="282"/>
      <c r="AC15" s="282"/>
      <c r="AD15" s="161"/>
    </row>
    <row r="16" spans="1:30" ht="25" customHeight="1">
      <c r="A16" s="587" t="str">
        <f ca="1">IF(IBRF!B23="","",IBRF!B23)</f>
        <v>80</v>
      </c>
      <c r="B16" s="1127" t="str">
        <f ca="1">IF(IBRF!C23="","",IBRF!C23)</f>
        <v>Mean Streak</v>
      </c>
      <c r="C16" s="1128"/>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0</v>
      </c>
      <c r="U16" s="588">
        <f ca="1">IF($A16="","",SUM(PT!V27,PT!V28))</f>
        <v>0</v>
      </c>
      <c r="V16" s="589" t="str">
        <f ca="1">IF($A16="","",PT!AJ28)</f>
        <v/>
      </c>
      <c r="W16" s="590"/>
      <c r="X16" s="591">
        <f ca="1">'Bout Summary'!F18</f>
        <v>15</v>
      </c>
      <c r="Y16" s="592">
        <f t="shared" si="0"/>
        <v>0</v>
      </c>
      <c r="Z16" s="282"/>
      <c r="AA16" s="282"/>
      <c r="AB16" s="282"/>
      <c r="AC16" s="282"/>
      <c r="AD16" s="161"/>
    </row>
    <row r="17" spans="1:30" ht="25" customHeight="1">
      <c r="A17" s="702" t="str">
        <f ca="1">IF(IBRF!B24="","",IBRF!B24)</f>
        <v>9.99</v>
      </c>
      <c r="B17" s="1131" t="str">
        <f ca="1">IF(IBRF!C24="","",IBRF!C24)</f>
        <v>U.S.S. DentHerPrize</v>
      </c>
      <c r="C17" s="1132"/>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0</v>
      </c>
      <c r="N17" s="581">
        <f ca="1">IF($A17="","",SUM(PT!O29,PT!O30))</f>
        <v>0</v>
      </c>
      <c r="O17" s="581">
        <f ca="1">IF($A17="","",SUM(PT!P29,PT!P30))</f>
        <v>0</v>
      </c>
      <c r="P17" s="581">
        <f ca="1">IF($A17="","",SUM(PT!Q29,PT!Q30))</f>
        <v>0</v>
      </c>
      <c r="Q17" s="581">
        <f ca="1">IF($A17="","",SUM(PT!R29,PT!R30))</f>
        <v>0</v>
      </c>
      <c r="R17" s="581">
        <f ca="1">IF($A17="","",SUM(PT!S29,PT!S30))</f>
        <v>0</v>
      </c>
      <c r="S17" s="581">
        <f ca="1">IF($A17="","",SUM(PT!T29,PT!T30))</f>
        <v>0</v>
      </c>
      <c r="T17" s="585">
        <f t="shared" si="1"/>
        <v>0</v>
      </c>
      <c r="U17" s="595">
        <f ca="1">IF($A17="","",SUM(PT!V29,PT!V30))</f>
        <v>0</v>
      </c>
      <c r="V17" s="596" t="str">
        <f ca="1">IF($A17="","",PT!AJ30)</f>
        <v/>
      </c>
      <c r="W17" s="597"/>
      <c r="X17" s="593">
        <f ca="1">'Bout Summary'!F19</f>
        <v>0</v>
      </c>
      <c r="Y17" s="594" t="str">
        <f t="shared" si="0"/>
        <v/>
      </c>
      <c r="Z17" s="282"/>
      <c r="AA17" s="282"/>
      <c r="AB17" s="282"/>
      <c r="AC17" s="282"/>
      <c r="AD17" s="161"/>
    </row>
    <row r="18" spans="1:30" ht="25" customHeight="1">
      <c r="A18" s="587" t="str">
        <f ca="1">IF(IBRF!B25="","",IBRF!B25)</f>
        <v>F14</v>
      </c>
      <c r="B18" s="1127" t="str">
        <f ca="1">IF(IBRF!C25="","",IBRF!C25)</f>
        <v>Apertorture</v>
      </c>
      <c r="C18" s="1128"/>
      <c r="D18" s="583">
        <f ca="1">IF($A18="","",SUM(PT!E31,PT!E32))</f>
        <v>0</v>
      </c>
      <c r="E18" s="577">
        <f ca="1">IF($A18="","",SUM(PT!F31,PT!F32))</f>
        <v>0</v>
      </c>
      <c r="F18" s="577">
        <f ca="1">IF($A18="","",SUM(PT!G31,PT!G32))</f>
        <v>0</v>
      </c>
      <c r="G18" s="577">
        <f ca="1">IF($A18="","",SUM(PT!H31,PT!H32))</f>
        <v>0</v>
      </c>
      <c r="H18" s="577">
        <f ca="1">IF($A18="","",SUM(PT!I31,PT!I32))</f>
        <v>0</v>
      </c>
      <c r="I18" s="577">
        <f ca="1">IF($A18="","",SUM(PT!J31,PT!J32))</f>
        <v>0</v>
      </c>
      <c r="J18" s="577">
        <f ca="1">IF($A18="","",SUM(PT!K31,PT!K32))</f>
        <v>0</v>
      </c>
      <c r="K18" s="577">
        <f ca="1">IF($A18="","",SUM(PT!L31,PT!L32))</f>
        <v>0</v>
      </c>
      <c r="L18" s="577">
        <f ca="1">IF($A18="","",SUM(PT!M31,PT!M32))</f>
        <v>0</v>
      </c>
      <c r="M18" s="577">
        <f ca="1">IF($A18="","",SUM(PT!N31,PT!N32))</f>
        <v>0</v>
      </c>
      <c r="N18" s="577">
        <f ca="1">IF($A18="","",SUM(PT!O31,PT!O32))</f>
        <v>0</v>
      </c>
      <c r="O18" s="577">
        <f ca="1">IF($A18="","",SUM(PT!P31,PT!P32))</f>
        <v>0</v>
      </c>
      <c r="P18" s="577">
        <f ca="1">IF($A18="","",SUM(PT!Q31,PT!Q32))</f>
        <v>0</v>
      </c>
      <c r="Q18" s="577">
        <f ca="1">IF($A18="","",SUM(PT!R31,PT!R32))</f>
        <v>0</v>
      </c>
      <c r="R18" s="577">
        <f ca="1">IF($A18="","",SUM(PT!S31,PT!S32))</f>
        <v>0</v>
      </c>
      <c r="S18" s="582">
        <f ca="1">IF($A18="","",SUM(PT!T31,PT!T32))</f>
        <v>0</v>
      </c>
      <c r="T18" s="584">
        <f t="shared" si="1"/>
        <v>0</v>
      </c>
      <c r="U18" s="588">
        <f ca="1">IF($A18="","",SUM(PT!V31,PT!V32))</f>
        <v>0</v>
      </c>
      <c r="V18" s="589" t="str">
        <f ca="1">IF($A18="","",PT!AJ32)</f>
        <v/>
      </c>
      <c r="W18" s="590"/>
      <c r="X18" s="591">
        <f ca="1">'Bout Summary'!F20</f>
        <v>8</v>
      </c>
      <c r="Y18" s="592">
        <f t="shared" si="0"/>
        <v>0</v>
      </c>
      <c r="Z18" s="282"/>
      <c r="AA18" s="282"/>
      <c r="AB18" s="282"/>
      <c r="AC18" s="282"/>
      <c r="AD18" s="161"/>
    </row>
    <row r="19" spans="1:30" ht="25" customHeight="1">
      <c r="A19" s="586" t="str">
        <f ca="1">IF(IBRF!B26="","",IBRF!B26)</f>
        <v/>
      </c>
      <c r="B19" s="1125" t="str">
        <f ca="1">IF(IBRF!C26="","",IBRF!C26)</f>
        <v/>
      </c>
      <c r="C19" s="1126"/>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27" t="str">
        <f ca="1">IF(IBRF!C27="","",IBRF!C27)</f>
        <v/>
      </c>
      <c r="C20" s="1128"/>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25" t="str">
        <f ca="1">IF(IBRF!C28="","",IBRF!C28)</f>
        <v/>
      </c>
      <c r="C21" s="1126"/>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27" t="str">
        <f ca="1">IF(IBRF!C29="","",IBRF!C29)</f>
        <v/>
      </c>
      <c r="C22" s="1128"/>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25" t="str">
        <f ca="1">IF(IBRF!C30="","",IBRF!C30)</f>
        <v/>
      </c>
      <c r="C23" s="1126"/>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34"/>
      <c r="B24" s="1135"/>
      <c r="C24" s="1135"/>
      <c r="D24" s="1117" t="s">
        <v>528</v>
      </c>
      <c r="E24" s="1117" t="s">
        <v>377</v>
      </c>
      <c r="F24" s="1117" t="s">
        <v>462</v>
      </c>
      <c r="G24" s="1117" t="s">
        <v>373</v>
      </c>
      <c r="H24" s="1117" t="s">
        <v>99</v>
      </c>
      <c r="I24" s="1117" t="s">
        <v>100</v>
      </c>
      <c r="J24" s="1117" t="s">
        <v>464</v>
      </c>
      <c r="K24" s="1117" t="s">
        <v>101</v>
      </c>
      <c r="L24" s="1117" t="s">
        <v>102</v>
      </c>
      <c r="M24" s="1117" t="s">
        <v>242</v>
      </c>
      <c r="N24" s="1117" t="s">
        <v>532</v>
      </c>
      <c r="O24" s="1117" t="s">
        <v>103</v>
      </c>
      <c r="P24" s="1117" t="s">
        <v>104</v>
      </c>
      <c r="Q24" s="1117" t="s">
        <v>105</v>
      </c>
      <c r="R24" s="1117" t="s">
        <v>516</v>
      </c>
      <c r="S24" s="1117" t="s">
        <v>185</v>
      </c>
      <c r="T24" s="1120" t="s">
        <v>106</v>
      </c>
      <c r="U24" s="449"/>
      <c r="V24" s="450">
        <f ca="1">SUM(PT!X45:AI45)</f>
        <v>0</v>
      </c>
      <c r="W24" s="455"/>
      <c r="X24" s="456">
        <f>IF(COUNT(X4:X23)=0,"-",SUM(X4:X23)/COUNT(X4:X23))</f>
        <v>14.6</v>
      </c>
      <c r="Y24" s="457">
        <f>IF(COUNT(Y4:Y23)=0,"-",SUM(Y4:Y23)/COUNT(Y4:Y23))</f>
        <v>5.3485591206179441E-2</v>
      </c>
      <c r="Z24" s="282"/>
      <c r="AA24" s="282"/>
      <c r="AB24" s="282"/>
      <c r="AC24" s="282"/>
      <c r="AD24" s="161"/>
    </row>
    <row r="25" spans="1:30" ht="20" customHeight="1" thickBot="1">
      <c r="A25" s="1136"/>
      <c r="B25" s="1137"/>
      <c r="C25" s="1137"/>
      <c r="D25" s="1118"/>
      <c r="E25" s="1118"/>
      <c r="F25" s="1118"/>
      <c r="G25" s="1118"/>
      <c r="H25" s="1118"/>
      <c r="I25" s="1118"/>
      <c r="J25" s="1118"/>
      <c r="K25" s="1118"/>
      <c r="L25" s="1118"/>
      <c r="M25" s="1118"/>
      <c r="N25" s="1118"/>
      <c r="O25" s="1118"/>
      <c r="P25" s="1118"/>
      <c r="Q25" s="1118"/>
      <c r="R25" s="1118"/>
      <c r="S25" s="1118"/>
      <c r="T25" s="1121"/>
      <c r="U25" s="451"/>
      <c r="V25" s="1156" t="s">
        <v>110</v>
      </c>
      <c r="W25" s="1155" t="s">
        <v>111</v>
      </c>
      <c r="X25" s="1155"/>
      <c r="Y25" s="1155"/>
      <c r="Z25" s="282"/>
      <c r="AA25" s="282"/>
      <c r="AB25" s="282"/>
      <c r="AC25" s="282"/>
      <c r="AD25" s="161"/>
    </row>
    <row r="26" spans="1:30" ht="20" customHeight="1" thickBot="1">
      <c r="A26" s="1138"/>
      <c r="B26" s="1139"/>
      <c r="C26" s="1139"/>
      <c r="D26" s="1119"/>
      <c r="E26" s="1119"/>
      <c r="F26" s="1119"/>
      <c r="G26" s="1119"/>
      <c r="H26" s="1119"/>
      <c r="I26" s="1119"/>
      <c r="J26" s="1119"/>
      <c r="K26" s="1119"/>
      <c r="L26" s="1119"/>
      <c r="M26" s="1119"/>
      <c r="N26" s="1119"/>
      <c r="O26" s="1119"/>
      <c r="P26" s="1119"/>
      <c r="Q26" s="1119"/>
      <c r="R26" s="1119"/>
      <c r="S26" s="1119"/>
      <c r="T26" s="1122"/>
      <c r="U26" s="451"/>
      <c r="V26" s="1157"/>
      <c r="W26" s="1155"/>
      <c r="X26" s="1155"/>
      <c r="Y26" s="1155"/>
      <c r="Z26" s="282"/>
      <c r="AA26" s="282"/>
      <c r="AB26" s="282"/>
      <c r="AC26" s="282"/>
      <c r="AD26" s="161"/>
    </row>
    <row r="27" spans="1:30" ht="12.75" customHeight="1" thickBot="1">
      <c r="A27" s="1097" t="s">
        <v>310</v>
      </c>
      <c r="B27" s="1097"/>
      <c r="C27" s="1097"/>
      <c r="D27" s="458">
        <f>SUM(D4:D23)</f>
        <v>0</v>
      </c>
      <c r="E27" s="458">
        <f t="shared" ref="E27:S27" si="2">SUM(E4:E23)</f>
        <v>0</v>
      </c>
      <c r="F27" s="458">
        <f t="shared" si="2"/>
        <v>1</v>
      </c>
      <c r="G27" s="458">
        <f t="shared" si="2"/>
        <v>0</v>
      </c>
      <c r="H27" s="458">
        <f t="shared" si="2"/>
        <v>1</v>
      </c>
      <c r="I27" s="458">
        <f t="shared" si="2"/>
        <v>0</v>
      </c>
      <c r="J27" s="458">
        <f t="shared" si="2"/>
        <v>0</v>
      </c>
      <c r="K27" s="458">
        <f t="shared" si="2"/>
        <v>0</v>
      </c>
      <c r="L27" s="458">
        <f t="shared" si="2"/>
        <v>1</v>
      </c>
      <c r="M27" s="458">
        <f t="shared" si="2"/>
        <v>3</v>
      </c>
      <c r="N27" s="458">
        <f t="shared" si="2"/>
        <v>6</v>
      </c>
      <c r="O27" s="458">
        <f t="shared" si="2"/>
        <v>0</v>
      </c>
      <c r="P27" s="458">
        <f t="shared" si="2"/>
        <v>1</v>
      </c>
      <c r="Q27" s="458">
        <f t="shared" si="2"/>
        <v>0</v>
      </c>
      <c r="R27" s="458">
        <f t="shared" si="2"/>
        <v>0</v>
      </c>
      <c r="S27" s="458">
        <f t="shared" si="2"/>
        <v>0</v>
      </c>
      <c r="T27" s="531">
        <f>SUM(T4:T23)</f>
        <v>13</v>
      </c>
      <c r="U27" s="451">
        <f>SUM(U4:U23)</f>
        <v>13</v>
      </c>
      <c r="V27" s="1144" t="s">
        <v>311</v>
      </c>
      <c r="W27" s="1144"/>
      <c r="X27" s="1144"/>
      <c r="Y27" s="1145"/>
      <c r="Z27" s="282"/>
      <c r="AA27" s="282"/>
      <c r="AB27" s="282"/>
      <c r="AC27" s="282"/>
      <c r="AD27" s="161"/>
    </row>
    <row r="28" spans="1:30" ht="12.75" customHeight="1" thickBot="1">
      <c r="A28" s="1097"/>
      <c r="B28" s="1097"/>
      <c r="C28" s="1097"/>
      <c r="D28" s="1133" t="s">
        <v>312</v>
      </c>
      <c r="E28" s="1133"/>
      <c r="F28" s="1133"/>
      <c r="G28" s="1133"/>
      <c r="H28" s="1133"/>
      <c r="I28" s="1133"/>
      <c r="J28" s="1123">
        <f ca="1">IF(OR(LU!D3=0,LU!D102=0),"",T27/(LU!D3+LU!D102))</f>
        <v>0.29545454545454547</v>
      </c>
      <c r="K28" s="1123"/>
      <c r="L28" s="1152" t="s">
        <v>313</v>
      </c>
      <c r="M28" s="1152"/>
      <c r="N28" s="1152"/>
      <c r="O28" s="1152"/>
      <c r="P28" s="1152"/>
      <c r="Q28" s="452"/>
      <c r="R28" s="1150">
        <f>IF(T27+T56=0,"",T27/(T27+T56))</f>
        <v>0.38235294117647056</v>
      </c>
      <c r="S28" s="1150"/>
      <c r="T28" s="453"/>
      <c r="U28" s="1151">
        <f>IF(U27+U56=0,"",U27/(U27+U56))</f>
        <v>0.38235294117647056</v>
      </c>
      <c r="V28" s="1146" t="s">
        <v>426</v>
      </c>
      <c r="W28" s="1146"/>
      <c r="X28" s="1146"/>
      <c r="Y28" s="1147"/>
      <c r="Z28" s="282"/>
      <c r="AA28" s="282"/>
      <c r="AB28" s="282"/>
      <c r="AC28" s="282"/>
      <c r="AD28" s="161"/>
    </row>
    <row r="29" spans="1:30" ht="12.75" customHeight="1" thickBot="1">
      <c r="A29" s="1097"/>
      <c r="B29" s="1097"/>
      <c r="C29" s="1097"/>
      <c r="D29" s="1154" t="s">
        <v>309</v>
      </c>
      <c r="E29" s="1154"/>
      <c r="F29" s="1154"/>
      <c r="G29" s="1154"/>
      <c r="H29" s="1154"/>
      <c r="I29" s="1154"/>
      <c r="J29" s="1153">
        <f>IF(OR(J28="",J57=""),"",J28-J57)</f>
        <v>-0.18181818181818182</v>
      </c>
      <c r="K29" s="1153"/>
      <c r="L29" s="1152"/>
      <c r="M29" s="1152"/>
      <c r="N29" s="1152"/>
      <c r="O29" s="1152"/>
      <c r="P29" s="1152"/>
      <c r="Q29" s="452"/>
      <c r="R29" s="1150"/>
      <c r="S29" s="1150"/>
      <c r="T29" s="454"/>
      <c r="U29" s="1151"/>
      <c r="V29" s="1148"/>
      <c r="W29" s="1148"/>
      <c r="X29" s="1148"/>
      <c r="Y29" s="1149"/>
      <c r="Z29" s="282"/>
      <c r="AA29" s="282"/>
      <c r="AB29" s="282"/>
      <c r="AC29" s="282"/>
      <c r="AD29" s="161"/>
    </row>
    <row r="30" spans="1:30" ht="20.25" customHeight="1" thickBot="1">
      <c r="A30" s="1141">
        <f ca="1">IF(IBRF!$B$5="","",IBRF!$B$5)</f>
        <v>41377</v>
      </c>
      <c r="B30" s="1141"/>
      <c r="C30" s="1141"/>
      <c r="D30" s="1140" t="s">
        <v>181</v>
      </c>
      <c r="E30" s="1140"/>
      <c r="F30" s="1140"/>
      <c r="G30" s="1140"/>
      <c r="H30" s="1140"/>
      <c r="I30" s="1140"/>
      <c r="J30" s="1140"/>
      <c r="K30" s="1140"/>
      <c r="L30" s="1140"/>
      <c r="M30" s="1140"/>
      <c r="N30" s="1140"/>
      <c r="O30" s="1140"/>
      <c r="P30" s="1140"/>
      <c r="Q30" s="1140"/>
      <c r="R30" s="1140"/>
      <c r="S30" s="1140"/>
      <c r="T30" s="1140"/>
      <c r="U30" s="1140"/>
      <c r="V30" s="1140"/>
      <c r="W30" s="1142" t="str">
        <f>W1</f>
        <v>Bout 199</v>
      </c>
      <c r="X30" s="1142"/>
      <c r="Y30" s="1142"/>
      <c r="Z30" s="282"/>
      <c r="AA30" s="282"/>
      <c r="AB30" s="282"/>
      <c r="AC30" s="282"/>
      <c r="AD30" s="161"/>
    </row>
    <row r="31" spans="1:30" ht="66" customHeight="1" thickBot="1">
      <c r="A31" s="1143" t="str">
        <f ca="1">Score!$T$1</f>
        <v>Pistolwhippers</v>
      </c>
      <c r="B31" s="1143"/>
      <c r="C31" s="1143"/>
      <c r="D31" s="1124"/>
      <c r="E31" s="1124"/>
      <c r="F31" s="1124"/>
      <c r="G31" s="1124"/>
      <c r="H31" s="1124"/>
      <c r="I31" s="1124"/>
      <c r="J31" s="1124"/>
      <c r="K31" s="1124"/>
      <c r="L31" s="1124"/>
      <c r="M31" s="1124"/>
      <c r="N31" s="1124"/>
      <c r="O31" s="1124"/>
      <c r="P31" s="1124"/>
      <c r="Q31" s="1124"/>
      <c r="R31" s="1124"/>
      <c r="S31" s="1124"/>
      <c r="T31" s="1124"/>
      <c r="U31" s="448" t="s">
        <v>182</v>
      </c>
      <c r="V31" s="448"/>
      <c r="W31" s="1124" t="s">
        <v>183</v>
      </c>
      <c r="X31" s="1124"/>
      <c r="Y31" s="1124"/>
      <c r="Z31" s="282"/>
      <c r="AA31" s="282"/>
      <c r="AB31" s="282"/>
      <c r="AC31" s="282"/>
      <c r="AD31" s="161"/>
    </row>
    <row r="32" spans="1:30" ht="60" customHeight="1">
      <c r="A32" s="273" t="s">
        <v>524</v>
      </c>
      <c r="B32" s="1129" t="s">
        <v>184</v>
      </c>
      <c r="C32" s="1130"/>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516</v>
      </c>
      <c r="R32" s="1" t="str">
        <f>R3</f>
        <v>Delay of Game</v>
      </c>
      <c r="S32" s="1" t="str">
        <f>S3</f>
        <v>Misconduct</v>
      </c>
      <c r="T32" s="277" t="s">
        <v>106</v>
      </c>
      <c r="U32" s="278" t="s">
        <v>107</v>
      </c>
      <c r="V32" s="279" t="s">
        <v>245</v>
      </c>
      <c r="W32" s="279"/>
      <c r="X32" s="280" t="s">
        <v>108</v>
      </c>
      <c r="Y32" s="281" t="s">
        <v>109</v>
      </c>
      <c r="Z32" s="282"/>
      <c r="AA32" s="282"/>
      <c r="AB32" s="282"/>
      <c r="AC32" s="282"/>
      <c r="AD32" s="161"/>
    </row>
    <row r="33" spans="1:30" ht="25" customHeight="1">
      <c r="A33" s="587" t="str">
        <f ca="1">IF(IBRF!H11="","",IBRF!H11)</f>
        <v>182</v>
      </c>
      <c r="B33" s="1127" t="str">
        <f ca="1">IF(IBRF!I11="","",IBRF!I11)</f>
        <v>Travis Blocker</v>
      </c>
      <c r="C33" s="1128"/>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1</v>
      </c>
      <c r="N33" s="577">
        <f ca="1">IF($A33="","",SUM(PT!O52,PT!O53))</f>
        <v>0</v>
      </c>
      <c r="O33" s="577">
        <f ca="1">IF($A33="","",SUM(PT!P52,PT!P53))</f>
        <v>0</v>
      </c>
      <c r="P33" s="577">
        <f ca="1">IF($A33="","",SUM(PT!Q52,PT!Q53))</f>
        <v>0</v>
      </c>
      <c r="Q33" s="577">
        <f ca="1">IF($A33="","",SUM(PT!R52,PT!R53))</f>
        <v>0</v>
      </c>
      <c r="R33" s="577">
        <f ca="1">IF($A33="","",SUM(PT!S52,PT!S53))</f>
        <v>0</v>
      </c>
      <c r="S33" s="582">
        <f ca="1">IF($A33="","",SUM(PT!T52,PT!T53))</f>
        <v>0</v>
      </c>
      <c r="T33" s="584">
        <f ca="1">IF($A33="","",SUM(D33:S33))</f>
        <v>1</v>
      </c>
      <c r="U33" s="588">
        <f ca="1">IF($A33="","",SUM(PT!V52,PT!V53))</f>
        <v>1</v>
      </c>
      <c r="V33" s="589" t="str">
        <f ca="1">IF($A33="","",PT!AJ53)</f>
        <v/>
      </c>
      <c r="W33" s="590"/>
      <c r="X33" s="591">
        <f ca="1">'Bout Summary'!F28</f>
        <v>9</v>
      </c>
      <c r="Y33" s="592">
        <f t="shared" ref="Y33:Y52" si="4">IF(OR(X33="",X33=0),"",U33/X33)</f>
        <v>0.1111111111111111</v>
      </c>
      <c r="Z33" s="282"/>
      <c r="AA33" s="282"/>
      <c r="AB33" s="282"/>
      <c r="AC33" s="282"/>
      <c r="AD33" s="161"/>
    </row>
    <row r="34" spans="1:30" ht="25" customHeight="1">
      <c r="A34" s="586" t="str">
        <f ca="1">IF(IBRF!H12="","",IBRF!H12)</f>
        <v>2¢</v>
      </c>
      <c r="B34" s="1125" t="str">
        <f ca="1">IF(IBRF!I12="","",IBRF!I12)</f>
        <v>Vera Toss</v>
      </c>
      <c r="C34" s="1126"/>
      <c r="D34" s="578">
        <f ca="1">IF($A34="","",SUM(PT!E54,PT!E55))</f>
        <v>0</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1</v>
      </c>
      <c r="O34" s="581">
        <f ca="1">IF($A34="","",SUM(PT!P54,PT!P55))</f>
        <v>0</v>
      </c>
      <c r="P34" s="581">
        <f ca="1">IF($A34="","",SUM(PT!Q54,PT!Q55))</f>
        <v>0</v>
      </c>
      <c r="Q34" s="581">
        <f ca="1">IF($A34="","",SUM(PT!R54,PT!R55))</f>
        <v>0</v>
      </c>
      <c r="R34" s="581">
        <f ca="1">IF($A34="","",SUM(PT!S54,PT!S55))</f>
        <v>0</v>
      </c>
      <c r="S34" s="581">
        <f ca="1">IF($A34="","",SUM(PT!T54,PT!T55))</f>
        <v>0</v>
      </c>
      <c r="T34" s="585">
        <f t="shared" ref="T34:T52" si="5">IF($A34="","",SUM(D34:S34))</f>
        <v>1</v>
      </c>
      <c r="U34" s="595">
        <f ca="1">IF($A34="","",SUM(PT!V54,PT!V55))</f>
        <v>1</v>
      </c>
      <c r="V34" s="596" t="str">
        <f ca="1">IF($A34="","",PT!AJ55)</f>
        <v/>
      </c>
      <c r="W34" s="597"/>
      <c r="X34" s="593">
        <f ca="1">'Bout Summary'!F29</f>
        <v>13</v>
      </c>
      <c r="Y34" s="594">
        <f t="shared" si="4"/>
        <v>7.6923076923076927E-2</v>
      </c>
      <c r="Z34" s="282"/>
      <c r="AA34" s="282"/>
      <c r="AB34" s="282"/>
      <c r="AC34" s="282"/>
      <c r="AD34" s="161"/>
    </row>
    <row r="35" spans="1:30" ht="25" customHeight="1">
      <c r="A35" s="587" t="str">
        <f ca="1">IF(IBRF!H13="","",IBRF!H13)</f>
        <v>24/7</v>
      </c>
      <c r="B35" s="1127" t="str">
        <f ca="1">IF(IBRF!I13="","",IBRF!I13)</f>
        <v>boo d. livers</v>
      </c>
      <c r="C35" s="1128"/>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2</v>
      </c>
      <c r="M35" s="577">
        <f ca="1">IF($A35="","",SUM(PT!N56,PT!N57))</f>
        <v>0</v>
      </c>
      <c r="N35" s="577">
        <f ca="1">IF($A35="","",SUM(PT!O56,PT!O57))</f>
        <v>1</v>
      </c>
      <c r="O35" s="577">
        <f ca="1">IF($A35="","",SUM(PT!P56,PT!P57))</f>
        <v>0</v>
      </c>
      <c r="P35" s="577">
        <f ca="1">IF($A35="","",SUM(PT!Q56,PT!Q57))</f>
        <v>0</v>
      </c>
      <c r="Q35" s="577">
        <f ca="1">IF($A35="","",SUM(PT!R56,PT!R57))</f>
        <v>2</v>
      </c>
      <c r="R35" s="577">
        <f ca="1">IF($A35="","",SUM(PT!S56,PT!S57))</f>
        <v>0</v>
      </c>
      <c r="S35" s="582">
        <f ca="1">IF($A35="","",SUM(PT!T56,PT!T57))</f>
        <v>0</v>
      </c>
      <c r="T35" s="584">
        <f t="shared" si="5"/>
        <v>5</v>
      </c>
      <c r="U35" s="588">
        <f ca="1">IF($A35="","",SUM(PT!V56,PT!V57))</f>
        <v>5</v>
      </c>
      <c r="V35" s="589" t="str">
        <f ca="1">IF($A35="","",PT!AJ57)</f>
        <v/>
      </c>
      <c r="W35" s="590"/>
      <c r="X35" s="591">
        <f ca="1">'Bout Summary'!F30</f>
        <v>23</v>
      </c>
      <c r="Y35" s="592">
        <f t="shared" si="4"/>
        <v>0.21739130434782608</v>
      </c>
      <c r="Z35" s="282"/>
      <c r="AA35" s="282"/>
      <c r="AB35" s="282"/>
      <c r="AC35" s="282"/>
      <c r="AD35" s="161"/>
    </row>
    <row r="36" spans="1:30" ht="25" customHeight="1">
      <c r="A36" s="586" t="str">
        <f ca="1">IF(IBRF!H14="","",IBRF!H14)</f>
        <v>27</v>
      </c>
      <c r="B36" s="1125" t="str">
        <f ca="1">IF(IBRF!I14="","",IBRF!I14)</f>
        <v>A.O. Lesgo</v>
      </c>
      <c r="C36" s="1126"/>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1</v>
      </c>
      <c r="N36" s="581">
        <f ca="1">IF($A36="","",SUM(PT!O58,PT!O59))</f>
        <v>1</v>
      </c>
      <c r="O36" s="581">
        <f ca="1">IF($A36="","",SUM(PT!P58,PT!P59))</f>
        <v>0</v>
      </c>
      <c r="P36" s="581">
        <f ca="1">IF($A36="","",SUM(PT!Q58,PT!Q59))</f>
        <v>0</v>
      </c>
      <c r="Q36" s="581">
        <f ca="1">IF($A36="","",SUM(PT!R58,PT!R59))</f>
        <v>0</v>
      </c>
      <c r="R36" s="581">
        <f ca="1">IF($A36="","",SUM(PT!S58,PT!S59))</f>
        <v>0</v>
      </c>
      <c r="S36" s="581">
        <f ca="1">IF($A36="","",SUM(PT!T58,PT!T59))</f>
        <v>0</v>
      </c>
      <c r="T36" s="585">
        <f t="shared" si="5"/>
        <v>2</v>
      </c>
      <c r="U36" s="595">
        <f ca="1">IF($A36="","",SUM(PT!V58,PT!V59))</f>
        <v>2</v>
      </c>
      <c r="V36" s="596" t="str">
        <f ca="1">IF($A36="","",PT!AJ59)</f>
        <v/>
      </c>
      <c r="W36" s="597"/>
      <c r="X36" s="593">
        <f ca="1">'Bout Summary'!F31</f>
        <v>15</v>
      </c>
      <c r="Y36" s="594">
        <f t="shared" si="4"/>
        <v>0.13333333333333333</v>
      </c>
      <c r="Z36" s="282"/>
      <c r="AA36" s="282"/>
      <c r="AB36" s="282"/>
      <c r="AC36" s="282"/>
      <c r="AD36" s="161"/>
    </row>
    <row r="37" spans="1:30" ht="25" customHeight="1">
      <c r="A37" s="587" t="str">
        <f ca="1">IF(IBRF!H15="","",IBRF!H15)</f>
        <v>38DD</v>
      </c>
      <c r="B37" s="1127" t="str">
        <f ca="1">IF(IBRF!I15="","",IBRF!I15)</f>
        <v>Tig O' Hitties</v>
      </c>
      <c r="C37" s="1128"/>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0</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0</v>
      </c>
      <c r="U37" s="588">
        <f ca="1">IF($A37="","",SUM(PT!V60,PT!V61))</f>
        <v>0</v>
      </c>
      <c r="V37" s="589" t="str">
        <f ca="1">IF($A37="","",PT!AJ61)</f>
        <v/>
      </c>
      <c r="W37" s="590"/>
      <c r="X37" s="591">
        <f ca="1">'Bout Summary'!F32</f>
        <v>14</v>
      </c>
      <c r="Y37" s="592">
        <f t="shared" si="4"/>
        <v>0</v>
      </c>
      <c r="Z37" s="282"/>
      <c r="AA37" s="282"/>
      <c r="AB37" s="282"/>
      <c r="AC37" s="282"/>
      <c r="AD37" s="161"/>
    </row>
    <row r="38" spans="1:30" ht="25" customHeight="1">
      <c r="A38" s="586" t="str">
        <f ca="1">IF(IBRF!H16="","",IBRF!H16)</f>
        <v>42</v>
      </c>
      <c r="B38" s="1125" t="str">
        <f ca="1">IF(IBRF!I16="","",IBRF!I16)</f>
        <v>Midnite Vulture</v>
      </c>
      <c r="C38" s="1126"/>
      <c r="D38" s="578">
        <f ca="1">IF($A38="","",SUM(PT!E62,PT!E63))</f>
        <v>0</v>
      </c>
      <c r="E38" s="579">
        <f ca="1">IF($A38="","",SUM(PT!F62,PT!F63))</f>
        <v>0</v>
      </c>
      <c r="F38" s="580">
        <f ca="1">IF($A38="","",SUM(PT!G62,PT!G63))</f>
        <v>0</v>
      </c>
      <c r="G38" s="581">
        <f ca="1">IF($A38="","",SUM(PT!H62,PT!H63))</f>
        <v>0</v>
      </c>
      <c r="H38" s="581">
        <f ca="1">IF($A38="","",SUM(PT!I62,PT!I63))</f>
        <v>1</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1</v>
      </c>
      <c r="U38" s="595">
        <f ca="1">IF($A38="","",SUM(PT!V62,PT!V63))</f>
        <v>1</v>
      </c>
      <c r="V38" s="596" t="str">
        <f ca="1">IF($A38="","",PT!AJ63)</f>
        <v/>
      </c>
      <c r="W38" s="597"/>
      <c r="X38" s="593">
        <f ca="1">'Bout Summary'!F33</f>
        <v>9</v>
      </c>
      <c r="Y38" s="594">
        <f t="shared" si="4"/>
        <v>0.1111111111111111</v>
      </c>
      <c r="Z38" s="282"/>
      <c r="AA38" s="282"/>
      <c r="AB38" s="282"/>
      <c r="AC38" s="282"/>
      <c r="AD38" s="161"/>
    </row>
    <row r="39" spans="1:30" ht="25" customHeight="1">
      <c r="A39" s="587" t="str">
        <f ca="1">IF(IBRF!H17="","",IBRF!H17)</f>
        <v>50</v>
      </c>
      <c r="B39" s="1127" t="str">
        <f ca="1">IF(IBRF!I17="","",IBRF!I17)</f>
        <v>Sam-I-Slam</v>
      </c>
      <c r="C39" s="1128"/>
      <c r="D39" s="583">
        <f ca="1">IF($A39="","",SUM(PT!E64,PT!E65))</f>
        <v>0</v>
      </c>
      <c r="E39" s="577">
        <f ca="1">IF($A39="","",SUM(PT!F64,PT!F65))</f>
        <v>0</v>
      </c>
      <c r="F39" s="577">
        <f ca="1">IF($A39="","",SUM(PT!G64,PT!G65))</f>
        <v>1</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0</v>
      </c>
      <c r="N39" s="577">
        <f ca="1">IF($A39="","",SUM(PT!O64,PT!O65))</f>
        <v>1</v>
      </c>
      <c r="O39" s="577">
        <f ca="1">IF($A39="","",SUM(PT!P64,PT!P65))</f>
        <v>0</v>
      </c>
      <c r="P39" s="577">
        <f ca="1">IF($A39="","",SUM(PT!Q64,PT!Q65))</f>
        <v>0</v>
      </c>
      <c r="Q39" s="577">
        <f ca="1">IF($A39="","",SUM(PT!R64,PT!R65))</f>
        <v>0</v>
      </c>
      <c r="R39" s="577">
        <f ca="1">IF($A39="","",SUM(PT!S64,PT!S65))</f>
        <v>0</v>
      </c>
      <c r="S39" s="582">
        <f ca="1">IF($A39="","",SUM(PT!T64,PT!T65))</f>
        <v>0</v>
      </c>
      <c r="T39" s="584">
        <f t="shared" si="5"/>
        <v>2</v>
      </c>
      <c r="U39" s="588">
        <f ca="1">IF($A39="","",SUM(PT!V64,PT!V65))</f>
        <v>2</v>
      </c>
      <c r="V39" s="589" t="str">
        <f ca="1">IF($A39="","",PT!AJ65)</f>
        <v/>
      </c>
      <c r="W39" s="590"/>
      <c r="X39" s="591">
        <f ca="1">'Bout Summary'!F34</f>
        <v>13</v>
      </c>
      <c r="Y39" s="592">
        <f t="shared" si="4"/>
        <v>0.15384615384615385</v>
      </c>
      <c r="Z39" s="282"/>
      <c r="AA39" s="282"/>
      <c r="AB39" s="282"/>
      <c r="AC39" s="282"/>
      <c r="AD39" s="161"/>
    </row>
    <row r="40" spans="1:30" ht="25" customHeight="1">
      <c r="A40" s="586" t="str">
        <f ca="1">IF(IBRF!H18="","",IBRF!H18)</f>
        <v>620</v>
      </c>
      <c r="B40" s="1125" t="str">
        <f ca="1">IF(IBRF!I18="","",IBRF!I18)</f>
        <v>Lazer Beam</v>
      </c>
      <c r="C40" s="1126"/>
      <c r="D40" s="578">
        <f ca="1">IF($A40="","",SUM(PT!E66,PT!E67))</f>
        <v>0</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0</v>
      </c>
      <c r="N40" s="581">
        <f ca="1">IF($A40="","",SUM(PT!O66,PT!O67))</f>
        <v>2</v>
      </c>
      <c r="O40" s="581">
        <f ca="1">IF($A40="","",SUM(PT!P66,PT!P67))</f>
        <v>0</v>
      </c>
      <c r="P40" s="581">
        <f ca="1">IF($A40="","",SUM(PT!Q66,PT!Q67))</f>
        <v>0</v>
      </c>
      <c r="Q40" s="581">
        <f ca="1">IF($A40="","",SUM(PT!R66,PT!R67))</f>
        <v>0</v>
      </c>
      <c r="R40" s="581">
        <f ca="1">IF($A40="","",SUM(PT!S66,PT!S67))</f>
        <v>0</v>
      </c>
      <c r="S40" s="581">
        <f ca="1">IF($A40="","",SUM(PT!T66,PT!T67))</f>
        <v>0</v>
      </c>
      <c r="T40" s="585">
        <f t="shared" si="5"/>
        <v>2</v>
      </c>
      <c r="U40" s="595">
        <f ca="1">IF($A40="","",SUM(PT!V66,PT!V67))</f>
        <v>2</v>
      </c>
      <c r="V40" s="596" t="str">
        <f ca="1">IF($A40="","",PT!AJ67)</f>
        <v/>
      </c>
      <c r="W40" s="597"/>
      <c r="X40" s="593">
        <f ca="1">'Bout Summary'!F35</f>
        <v>16</v>
      </c>
      <c r="Y40" s="594">
        <f t="shared" si="4"/>
        <v>0.125</v>
      </c>
      <c r="Z40" s="282"/>
      <c r="AA40" s="282"/>
      <c r="AB40" s="282"/>
      <c r="AC40" s="282"/>
      <c r="AD40" s="161"/>
    </row>
    <row r="41" spans="1:30" ht="25" customHeight="1">
      <c r="A41" s="587" t="str">
        <f ca="1">IF(IBRF!H19="","",IBRF!H19)</f>
        <v>7</v>
      </c>
      <c r="B41" s="1127" t="str">
        <f ca="1">IF(IBRF!I19="","",IBRF!I19)</f>
        <v>CottonCandy Princess</v>
      </c>
      <c r="C41" s="1128"/>
      <c r="D41" s="583">
        <f ca="1">IF($A41="","",SUM(PT!E68,PT!E69))</f>
        <v>0</v>
      </c>
      <c r="E41" s="577">
        <f ca="1">IF($A41="","",SUM(PT!F68,PT!F69))</f>
        <v>0</v>
      </c>
      <c r="F41" s="577">
        <f ca="1">IF($A41="","",SUM(PT!G68,PT!G69))</f>
        <v>0</v>
      </c>
      <c r="G41" s="577">
        <f ca="1">IF($A41="","",SUM(PT!H68,PT!H69))</f>
        <v>0</v>
      </c>
      <c r="H41" s="577">
        <f ca="1">IF($A41="","",SUM(PT!I68,PT!I69))</f>
        <v>1</v>
      </c>
      <c r="I41" s="577">
        <f ca="1">IF($A41="","",SUM(PT!J68,PT!J69))</f>
        <v>0</v>
      </c>
      <c r="J41" s="577">
        <f ca="1">IF($A41="","",SUM(PT!K68,PT!K69))</f>
        <v>0</v>
      </c>
      <c r="K41" s="577">
        <f ca="1">IF($A41="","",SUM(PT!L68,PT!L69))</f>
        <v>1</v>
      </c>
      <c r="L41" s="577">
        <f ca="1">IF($A41="","",SUM(PT!M68,PT!M69))</f>
        <v>0</v>
      </c>
      <c r="M41" s="577">
        <f ca="1">IF($A41="","",SUM(PT!N68,PT!N69))</f>
        <v>1</v>
      </c>
      <c r="N41" s="577">
        <f ca="1">IF($A41="","",SUM(PT!O68,PT!O69))</f>
        <v>1</v>
      </c>
      <c r="O41" s="577">
        <f ca="1">IF($A41="","",SUM(PT!P68,PT!P69))</f>
        <v>0</v>
      </c>
      <c r="P41" s="577">
        <f ca="1">IF($A41="","",SUM(PT!Q68,PT!Q69))</f>
        <v>0</v>
      </c>
      <c r="Q41" s="577">
        <f ca="1">IF($A41="","",SUM(PT!R68,PT!R69))</f>
        <v>0</v>
      </c>
      <c r="R41" s="577">
        <f ca="1">IF($A41="","",SUM(PT!S68,PT!S69))</f>
        <v>0</v>
      </c>
      <c r="S41" s="582">
        <f ca="1">IF($A41="","",SUM(PT!T68,PT!T69))</f>
        <v>0</v>
      </c>
      <c r="T41" s="584">
        <f t="shared" si="5"/>
        <v>4</v>
      </c>
      <c r="U41" s="588">
        <f ca="1">IF($A41="","",SUM(PT!V68,PT!V69))</f>
        <v>4</v>
      </c>
      <c r="V41" s="589" t="str">
        <f ca="1">IF($A41="","",PT!AJ69)</f>
        <v/>
      </c>
      <c r="W41" s="590"/>
      <c r="X41" s="591">
        <f ca="1">'Bout Summary'!F36</f>
        <v>21</v>
      </c>
      <c r="Y41" s="592">
        <f t="shared" si="4"/>
        <v>0.19047619047619047</v>
      </c>
      <c r="Z41" s="282"/>
      <c r="AA41" s="282"/>
      <c r="AB41" s="282"/>
      <c r="AC41" s="282"/>
      <c r="AD41" s="161"/>
    </row>
    <row r="42" spans="1:30" ht="25" customHeight="1">
      <c r="A42" s="586" t="str">
        <f ca="1">IF(IBRF!H20="","",IBRF!H20)</f>
        <v>72</v>
      </c>
      <c r="B42" s="1125" t="str">
        <f ca="1">IF(IBRF!I20="","",IBRF!I20)</f>
        <v>Demonica Mars</v>
      </c>
      <c r="C42" s="1126"/>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0</v>
      </c>
      <c r="O42" s="581">
        <f ca="1">IF($A42="","",SUM(PT!P70,PT!P71))</f>
        <v>0</v>
      </c>
      <c r="P42" s="581">
        <f ca="1">IF($A42="","",SUM(PT!Q70,PT!Q71))</f>
        <v>0</v>
      </c>
      <c r="Q42" s="581">
        <f ca="1">IF($A42="","",SUM(PT!R70,PT!R71))</f>
        <v>0</v>
      </c>
      <c r="R42" s="581">
        <f ca="1">IF($A42="","",SUM(PT!S70,PT!S71))</f>
        <v>0</v>
      </c>
      <c r="S42" s="581">
        <f ca="1">IF($A42="","",SUM(PT!T70,PT!T71))</f>
        <v>0</v>
      </c>
      <c r="T42" s="585">
        <f t="shared" si="5"/>
        <v>0</v>
      </c>
      <c r="U42" s="595">
        <f ca="1">IF($A42="","",SUM(PT!V70,PT!V71))</f>
        <v>0</v>
      </c>
      <c r="V42" s="596" t="str">
        <f ca="1">IF($A42="","",PT!AJ71)</f>
        <v/>
      </c>
      <c r="W42" s="597"/>
      <c r="X42" s="593">
        <f ca="1">'Bout Summary'!F37</f>
        <v>8</v>
      </c>
      <c r="Y42" s="594">
        <f t="shared" si="4"/>
        <v>0</v>
      </c>
    </row>
    <row r="43" spans="1:30" ht="25" customHeight="1">
      <c r="A43" s="587" t="str">
        <f ca="1">IF(IBRF!H21="","",IBRF!H21)</f>
        <v>9.81</v>
      </c>
      <c r="B43" s="1127" t="str">
        <f ca="1">IF(IBRF!I21="","",IBRF!I21)</f>
        <v>Uhura Belle Death</v>
      </c>
      <c r="C43" s="1128"/>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0</v>
      </c>
      <c r="N43" s="577">
        <f ca="1">IF($A43="","",SUM(PT!O72,PT!O73))</f>
        <v>1</v>
      </c>
      <c r="O43" s="577">
        <f ca="1">IF($A43="","",SUM(PT!P72,PT!P73))</f>
        <v>0</v>
      </c>
      <c r="P43" s="577">
        <f ca="1">IF($A43="","",SUM(PT!Q72,PT!Q73))</f>
        <v>0</v>
      </c>
      <c r="Q43" s="577">
        <f ca="1">IF($A43="","",SUM(PT!R72,PT!R73))</f>
        <v>0</v>
      </c>
      <c r="R43" s="577">
        <f ca="1">IF($A43="","",SUM(PT!S72,PT!S73))</f>
        <v>0</v>
      </c>
      <c r="S43" s="582">
        <f ca="1">IF($A43="","",SUM(PT!T72,PT!T73))</f>
        <v>0</v>
      </c>
      <c r="T43" s="584">
        <f t="shared" si="5"/>
        <v>1</v>
      </c>
      <c r="U43" s="588">
        <f ca="1">IF($A43="","",SUM(PT!V72,PT!V73))</f>
        <v>1</v>
      </c>
      <c r="V43" s="589" t="str">
        <f ca="1">IF($A43="","",PT!AJ73)</f>
        <v/>
      </c>
      <c r="W43" s="590"/>
      <c r="X43" s="591">
        <f ca="1">'Bout Summary'!F38</f>
        <v>13</v>
      </c>
      <c r="Y43" s="592">
        <f t="shared" si="4"/>
        <v>7.6923076923076927E-2</v>
      </c>
    </row>
    <row r="44" spans="1:30" ht="25" customHeight="1">
      <c r="A44" s="586" t="str">
        <f ca="1">IF(IBRF!H22="","",IBRF!H22)</f>
        <v>I-75</v>
      </c>
      <c r="B44" s="1125" t="str">
        <f ca="1">IF(IBRF!I22="","",IBRF!I22)</f>
        <v>Diesel Doll</v>
      </c>
      <c r="C44" s="1126"/>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0</v>
      </c>
      <c r="O44" s="581">
        <f ca="1">IF($A44="","",SUM(PT!P74,PT!P75))</f>
        <v>0</v>
      </c>
      <c r="P44" s="581">
        <f ca="1">IF($A44="","",SUM(PT!Q74,PT!Q75))</f>
        <v>0</v>
      </c>
      <c r="Q44" s="581">
        <f ca="1">IF($A44="","",SUM(PT!R74,PT!R75))</f>
        <v>0</v>
      </c>
      <c r="R44" s="581">
        <f ca="1">IF($A44="","",SUM(PT!S74,PT!S75))</f>
        <v>0</v>
      </c>
      <c r="S44" s="581">
        <f ca="1">IF($A44="","",SUM(PT!T74,PT!T75))</f>
        <v>0</v>
      </c>
      <c r="T44" s="585">
        <f t="shared" si="5"/>
        <v>0</v>
      </c>
      <c r="U44" s="595">
        <f ca="1">IF($A44="","",SUM(PT!V74,PT!V75))</f>
        <v>0</v>
      </c>
      <c r="V44" s="596" t="str">
        <f ca="1">IF($A44="","",PT!AJ75)</f>
        <v/>
      </c>
      <c r="W44" s="597"/>
      <c r="X44" s="593">
        <f ca="1">'Bout Summary'!F39</f>
        <v>19</v>
      </c>
      <c r="Y44" s="594">
        <f t="shared" si="4"/>
        <v>0</v>
      </c>
    </row>
    <row r="45" spans="1:30" ht="25" customHeight="1">
      <c r="A45" s="587" t="str">
        <f ca="1">IF(IBRF!H23="","",IBRF!H23)</f>
        <v>N2O</v>
      </c>
      <c r="B45" s="1127" t="str">
        <f ca="1">IF(IBRF!I23="","",IBRF!I23)</f>
        <v>Cool Whip</v>
      </c>
      <c r="C45" s="1128"/>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1</v>
      </c>
      <c r="N45" s="577">
        <f ca="1">IF($A45="","",SUM(PT!O76,PT!O77))</f>
        <v>1</v>
      </c>
      <c r="O45" s="577">
        <f ca="1">IF($A45="","",SUM(PT!P76,PT!P77))</f>
        <v>0</v>
      </c>
      <c r="P45" s="577">
        <f ca="1">IF($A45="","",SUM(PT!Q76,PT!Q77))</f>
        <v>0</v>
      </c>
      <c r="Q45" s="577">
        <f ca="1">IF($A45="","",SUM(PT!R76,PT!R77))</f>
        <v>0</v>
      </c>
      <c r="R45" s="577">
        <f ca="1">IF($A45="","",SUM(PT!S76,PT!S77))</f>
        <v>0</v>
      </c>
      <c r="S45" s="582">
        <f ca="1">IF($A45="","",SUM(PT!T76,PT!T77))</f>
        <v>0</v>
      </c>
      <c r="T45" s="584">
        <f t="shared" si="5"/>
        <v>2</v>
      </c>
      <c r="U45" s="588">
        <f ca="1">IF($A45="","",SUM(PT!V76,PT!V77))</f>
        <v>2</v>
      </c>
      <c r="V45" s="589" t="str">
        <f ca="1">IF($A45="","",PT!AJ77)</f>
        <v/>
      </c>
      <c r="W45" s="590"/>
      <c r="X45" s="591">
        <f ca="1">'Bout Summary'!F40</f>
        <v>23</v>
      </c>
      <c r="Y45" s="592">
        <f t="shared" si="4"/>
        <v>8.6956521739130432E-2</v>
      </c>
    </row>
    <row r="46" spans="1:30" ht="25" customHeight="1">
      <c r="A46" s="586" t="str">
        <f ca="1">IF(IBRF!H24="","",IBRF!H24)</f>
        <v>W00T</v>
      </c>
      <c r="B46" s="1125" t="str">
        <f ca="1">IF(IBRF!I24="","",IBRF!I24)</f>
        <v>Genniferal</v>
      </c>
      <c r="C46" s="1126"/>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0</v>
      </c>
      <c r="N46" s="581">
        <f ca="1">IF($A46="","",SUM(PT!O78,PT!O79))</f>
        <v>0</v>
      </c>
      <c r="O46" s="581">
        <f ca="1">IF($A46="","",SUM(PT!P78,PT!P79))</f>
        <v>0</v>
      </c>
      <c r="P46" s="581">
        <f ca="1">IF($A46="","",SUM(PT!Q78,PT!Q79))</f>
        <v>0</v>
      </c>
      <c r="Q46" s="581">
        <f ca="1">IF($A46="","",SUM(PT!R78,PT!R79))</f>
        <v>0</v>
      </c>
      <c r="R46" s="581">
        <f ca="1">IF($A46="","",SUM(PT!S78,PT!S79))</f>
        <v>0</v>
      </c>
      <c r="S46" s="581">
        <f ca="1">IF($A46="","",SUM(PT!T78,PT!T79))</f>
        <v>0</v>
      </c>
      <c r="T46" s="585">
        <f t="shared" si="5"/>
        <v>0</v>
      </c>
      <c r="U46" s="595">
        <f ca="1">IF($A46="","",SUM(PT!V78,PT!V79))</f>
        <v>0</v>
      </c>
      <c r="V46" s="596" t="str">
        <f ca="1">IF($A46="","",PT!AJ79)</f>
        <v/>
      </c>
      <c r="W46" s="597"/>
      <c r="X46" s="593">
        <f ca="1">'Bout Summary'!F41</f>
        <v>19</v>
      </c>
      <c r="Y46" s="594">
        <f t="shared" si="4"/>
        <v>0</v>
      </c>
    </row>
    <row r="47" spans="1:30" ht="25" customHeight="1">
      <c r="A47" s="587" t="str">
        <f ca="1">IF(IBRF!H25="","",IBRF!H25)</f>
        <v>Z28</v>
      </c>
      <c r="B47" s="1127" t="str">
        <f ca="1">IF(IBRF!I25="","",IBRF!I25)</f>
        <v>V8 Nightmare</v>
      </c>
      <c r="C47" s="1128"/>
      <c r="D47" s="583">
        <f ca="1">IF($A47="","",SUM(PT!E80,PT!E81))</f>
        <v>0</v>
      </c>
      <c r="E47" s="577">
        <f ca="1">IF($A47="","",SUM(PT!F80,PT!F81))</f>
        <v>0</v>
      </c>
      <c r="F47" s="577">
        <f ca="1">IF($A47="","",SUM(PT!G80,PT!G81))</f>
        <v>0</v>
      </c>
      <c r="G47" s="577">
        <f ca="1">IF($A47="","",SUM(PT!H80,PT!H81))</f>
        <v>0</v>
      </c>
      <c r="H47" s="577">
        <f ca="1">IF($A47="","",SUM(PT!I80,PT!I81))</f>
        <v>0</v>
      </c>
      <c r="I47" s="577">
        <f ca="1">IF($A47="","",SUM(PT!J80,PT!J81))</f>
        <v>0</v>
      </c>
      <c r="J47" s="577">
        <f ca="1">IF($A47="","",SUM(PT!K80,PT!K81))</f>
        <v>0</v>
      </c>
      <c r="K47" s="577">
        <f ca="1">IF($A47="","",SUM(PT!L80,PT!L81))</f>
        <v>0</v>
      </c>
      <c r="L47" s="577">
        <f ca="1">IF($A47="","",SUM(PT!M80,PT!M81))</f>
        <v>0</v>
      </c>
      <c r="M47" s="577">
        <f ca="1">IF($A47="","",SUM(PT!N80,PT!N81))</f>
        <v>0</v>
      </c>
      <c r="N47" s="577">
        <f ca="1">IF($A47="","",SUM(PT!O80,PT!O81))</f>
        <v>0</v>
      </c>
      <c r="O47" s="577">
        <f ca="1">IF($A47="","",SUM(PT!P80,PT!P81))</f>
        <v>0</v>
      </c>
      <c r="P47" s="577">
        <f ca="1">IF($A47="","",SUM(PT!Q80,PT!Q81))</f>
        <v>0</v>
      </c>
      <c r="Q47" s="577">
        <f ca="1">IF($A47="","",SUM(PT!R80,PT!R81))</f>
        <v>0</v>
      </c>
      <c r="R47" s="577">
        <f ca="1">IF($A47="","",SUM(PT!S80,PT!S81))</f>
        <v>0</v>
      </c>
      <c r="S47" s="582">
        <f ca="1">IF($A47="","",SUM(PT!T80,PT!T81))</f>
        <v>0</v>
      </c>
      <c r="T47" s="584">
        <f t="shared" si="5"/>
        <v>0</v>
      </c>
      <c r="U47" s="588">
        <f ca="1">IF($A47="","",SUM(PT!V80,PT!V81))</f>
        <v>0</v>
      </c>
      <c r="V47" s="589" t="str">
        <f ca="1">IF($A47="","",PT!AJ81)</f>
        <v/>
      </c>
      <c r="W47" s="590"/>
      <c r="X47" s="591">
        <f ca="1">'Bout Summary'!F42</f>
        <v>5</v>
      </c>
      <c r="Y47" s="592">
        <f t="shared" si="4"/>
        <v>0</v>
      </c>
    </row>
    <row r="48" spans="1:30" ht="25" customHeight="1">
      <c r="A48" s="586" t="str">
        <f ca="1">IF(IBRF!H26="","",IBRF!H26)</f>
        <v/>
      </c>
      <c r="B48" s="1125" t="str">
        <f ca="1">IF(IBRF!I26="","",IBRF!I26)</f>
        <v/>
      </c>
      <c r="C48" s="1126"/>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127" t="str">
        <f ca="1">IF(IBRF!I27="","",IBRF!I27)</f>
        <v/>
      </c>
      <c r="C49" s="1128"/>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25" t="str">
        <f ca="1">IF(IBRF!I28="","",IBRF!I28)</f>
        <v/>
      </c>
      <c r="C50" s="1126"/>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27" t="str">
        <f ca="1">IF(IBRF!I29="","",IBRF!I29)</f>
        <v/>
      </c>
      <c r="C51" s="1128"/>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25" t="str">
        <f ca="1">IF(IBRF!I30="","",IBRF!I30)</f>
        <v/>
      </c>
      <c r="C52" s="1126"/>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34"/>
      <c r="B53" s="1135"/>
      <c r="C53" s="1135"/>
      <c r="D53" s="1117" t="s">
        <v>528</v>
      </c>
      <c r="E53" s="1117" t="s">
        <v>377</v>
      </c>
      <c r="F53" s="1117" t="s">
        <v>462</v>
      </c>
      <c r="G53" s="1117" t="s">
        <v>373</v>
      </c>
      <c r="H53" s="1117" t="s">
        <v>99</v>
      </c>
      <c r="I53" s="1117" t="s">
        <v>100</v>
      </c>
      <c r="J53" s="1117" t="s">
        <v>464</v>
      </c>
      <c r="K53" s="1117" t="s">
        <v>101</v>
      </c>
      <c r="L53" s="1117" t="s">
        <v>102</v>
      </c>
      <c r="M53" s="1117" t="s">
        <v>242</v>
      </c>
      <c r="N53" s="1117" t="s">
        <v>532</v>
      </c>
      <c r="O53" s="1117" t="s">
        <v>103</v>
      </c>
      <c r="P53" s="1117" t="s">
        <v>104</v>
      </c>
      <c r="Q53" s="1117" t="s">
        <v>105</v>
      </c>
      <c r="R53" s="1117" t="s">
        <v>516</v>
      </c>
      <c r="S53" s="1117" t="s">
        <v>185</v>
      </c>
      <c r="T53" s="1120" t="s">
        <v>106</v>
      </c>
      <c r="U53" s="449"/>
      <c r="V53" s="450">
        <f ca="1">SUM(PT!X94:AI94)</f>
        <v>0</v>
      </c>
      <c r="W53" s="455"/>
      <c r="X53" s="456">
        <f>IF(COUNT(X33:X52)=0,"-",SUM(X33:X52)/COUNT(X33:X52))</f>
        <v>14.666666666666666</v>
      </c>
      <c r="Y53" s="457">
        <f>IF(COUNT(Y33:Y52)=0,"-",SUM(Y33:Y52)/COUNT(Y33:Y52))</f>
        <v>8.5538125320734001E-2</v>
      </c>
    </row>
    <row r="54" spans="1:25" ht="20" customHeight="1" thickBot="1">
      <c r="A54" s="1136"/>
      <c r="B54" s="1137"/>
      <c r="C54" s="1137"/>
      <c r="D54" s="1118"/>
      <c r="E54" s="1118"/>
      <c r="F54" s="1118"/>
      <c r="G54" s="1118"/>
      <c r="H54" s="1118"/>
      <c r="I54" s="1118"/>
      <c r="J54" s="1118"/>
      <c r="K54" s="1118"/>
      <c r="L54" s="1118"/>
      <c r="M54" s="1118"/>
      <c r="N54" s="1118"/>
      <c r="O54" s="1118"/>
      <c r="P54" s="1118"/>
      <c r="Q54" s="1118"/>
      <c r="R54" s="1118"/>
      <c r="S54" s="1118"/>
      <c r="T54" s="1121"/>
      <c r="U54" s="451"/>
      <c r="V54" s="1156" t="s">
        <v>110</v>
      </c>
      <c r="W54" s="1155" t="s">
        <v>111</v>
      </c>
      <c r="X54" s="1155"/>
      <c r="Y54" s="1155"/>
    </row>
    <row r="55" spans="1:25" ht="20" customHeight="1" thickBot="1">
      <c r="A55" s="1138"/>
      <c r="B55" s="1139"/>
      <c r="C55" s="1139"/>
      <c r="D55" s="1119"/>
      <c r="E55" s="1119"/>
      <c r="F55" s="1119"/>
      <c r="G55" s="1119"/>
      <c r="H55" s="1119"/>
      <c r="I55" s="1119"/>
      <c r="J55" s="1119"/>
      <c r="K55" s="1119"/>
      <c r="L55" s="1119"/>
      <c r="M55" s="1119"/>
      <c r="N55" s="1119"/>
      <c r="O55" s="1119"/>
      <c r="P55" s="1119"/>
      <c r="Q55" s="1119"/>
      <c r="R55" s="1119"/>
      <c r="S55" s="1119"/>
      <c r="T55" s="1122"/>
      <c r="U55" s="451"/>
      <c r="V55" s="1157"/>
      <c r="W55" s="1155"/>
      <c r="X55" s="1155"/>
      <c r="Y55" s="1155"/>
    </row>
    <row r="56" spans="1:25" ht="12.75" customHeight="1" thickBot="1">
      <c r="A56" s="1097" t="s">
        <v>310</v>
      </c>
      <c r="B56" s="1097"/>
      <c r="C56" s="1097"/>
      <c r="D56" s="458">
        <f>SUM(D33:D52)</f>
        <v>0</v>
      </c>
      <c r="E56" s="458">
        <f t="shared" ref="E56:T56" si="6">SUM(E33:E52)</f>
        <v>0</v>
      </c>
      <c r="F56" s="458">
        <f t="shared" si="6"/>
        <v>1</v>
      </c>
      <c r="G56" s="458">
        <f t="shared" si="6"/>
        <v>0</v>
      </c>
      <c r="H56" s="458">
        <f t="shared" si="6"/>
        <v>2</v>
      </c>
      <c r="I56" s="458">
        <f t="shared" si="6"/>
        <v>0</v>
      </c>
      <c r="J56" s="458">
        <f t="shared" si="6"/>
        <v>0</v>
      </c>
      <c r="K56" s="458">
        <f t="shared" si="6"/>
        <v>1</v>
      </c>
      <c r="L56" s="458">
        <f t="shared" si="6"/>
        <v>2</v>
      </c>
      <c r="M56" s="458">
        <f t="shared" si="6"/>
        <v>4</v>
      </c>
      <c r="N56" s="458">
        <f t="shared" si="6"/>
        <v>9</v>
      </c>
      <c r="O56" s="458">
        <f t="shared" si="6"/>
        <v>0</v>
      </c>
      <c r="P56" s="458">
        <f t="shared" si="6"/>
        <v>0</v>
      </c>
      <c r="Q56" s="458">
        <f t="shared" si="6"/>
        <v>2</v>
      </c>
      <c r="R56" s="458">
        <f t="shared" si="6"/>
        <v>0</v>
      </c>
      <c r="S56" s="458">
        <f t="shared" si="6"/>
        <v>0</v>
      </c>
      <c r="T56" s="458">
        <f t="shared" si="6"/>
        <v>21</v>
      </c>
      <c r="U56" s="451">
        <f>SUM(U33:U52)</f>
        <v>21</v>
      </c>
      <c r="V56" s="1144" t="s">
        <v>311</v>
      </c>
      <c r="W56" s="1144"/>
      <c r="X56" s="1144"/>
      <c r="Y56" s="1145"/>
    </row>
    <row r="57" spans="1:25" ht="12.75" customHeight="1" thickBot="1">
      <c r="A57" s="1097"/>
      <c r="B57" s="1097"/>
      <c r="C57" s="1097"/>
      <c r="D57" s="1133" t="s">
        <v>312</v>
      </c>
      <c r="E57" s="1133"/>
      <c r="F57" s="1133"/>
      <c r="G57" s="1133"/>
      <c r="H57" s="1133"/>
      <c r="I57" s="1133"/>
      <c r="J57" s="1123">
        <f ca="1">IF(OR(LU!W3=0,LU!W102=0),"",T56/(LU!W3+LU!W102))</f>
        <v>0.47727272727272729</v>
      </c>
      <c r="K57" s="1123"/>
      <c r="L57" s="1152" t="s">
        <v>313</v>
      </c>
      <c r="M57" s="1152"/>
      <c r="N57" s="1152"/>
      <c r="O57" s="1152"/>
      <c r="P57" s="1152"/>
      <c r="Q57" s="452"/>
      <c r="R57" s="1150">
        <f>IF(T27+T56=0,"",T56/(T27+T56))</f>
        <v>0.61764705882352944</v>
      </c>
      <c r="S57" s="1150"/>
      <c r="T57" s="453"/>
      <c r="U57" s="1151">
        <f>IF(U27+U56=0,"",U56/(U27+U56))</f>
        <v>0.61764705882352944</v>
      </c>
      <c r="V57" s="1146" t="s">
        <v>426</v>
      </c>
      <c r="W57" s="1146"/>
      <c r="X57" s="1146"/>
      <c r="Y57" s="1147"/>
    </row>
    <row r="58" spans="1:25" ht="13.5" customHeight="1" thickBot="1">
      <c r="A58" s="1097"/>
      <c r="B58" s="1097"/>
      <c r="C58" s="1097"/>
      <c r="D58" s="1154" t="s">
        <v>309</v>
      </c>
      <c r="E58" s="1154"/>
      <c r="F58" s="1154"/>
      <c r="G58" s="1154"/>
      <c r="H58" s="1154"/>
      <c r="I58" s="1154"/>
      <c r="J58" s="1153">
        <f>IF(OR(J28="",J57=""),"",J57-J28)</f>
        <v>0.18181818181818182</v>
      </c>
      <c r="K58" s="1153"/>
      <c r="L58" s="1152"/>
      <c r="M58" s="1152"/>
      <c r="N58" s="1152"/>
      <c r="O58" s="1152"/>
      <c r="P58" s="1152"/>
      <c r="Q58" s="452"/>
      <c r="R58" s="1150"/>
      <c r="S58" s="1150"/>
      <c r="T58" s="454"/>
      <c r="U58" s="1151"/>
      <c r="V58" s="1148"/>
      <c r="W58" s="1148"/>
      <c r="X58" s="1148"/>
      <c r="Y58" s="1149"/>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62">
        <f ca="1">IF(ISBLANK(IBRF!$B$5), "", IBRF!$B$5)</f>
        <v>41377</v>
      </c>
      <c r="B1" s="1162"/>
      <c r="C1" s="1165"/>
      <c r="D1" s="1165"/>
      <c r="E1" s="1166" t="str">
        <f ca="1">Score!$A$1</f>
        <v>Detroit Pistoffs</v>
      </c>
      <c r="F1" s="1166"/>
      <c r="G1" s="1166"/>
      <c r="H1" s="1166"/>
    </row>
    <row r="2" spans="1:8" ht="15" customHeight="1">
      <c r="A2" s="1158" t="s">
        <v>577</v>
      </c>
      <c r="B2" s="1158"/>
      <c r="C2" s="1167" t="s">
        <v>542</v>
      </c>
      <c r="D2" s="1167"/>
      <c r="E2" s="1166" t="str">
        <f ca="1">Score!$T$1</f>
        <v>Pistolwhippers</v>
      </c>
      <c r="F2" s="1166"/>
      <c r="G2" s="1166"/>
      <c r="H2" s="1166"/>
    </row>
    <row r="3" spans="1:8" ht="15" customHeight="1" thickBot="1">
      <c r="A3" s="1169" t="str">
        <f ca="1">IF(ISBLANK(IBRF!$K$3), "", "BOUT " &amp; IBRF!$K$3)</f>
        <v>BOUT 199</v>
      </c>
      <c r="B3" s="1169"/>
      <c r="C3" s="1168"/>
      <c r="D3" s="1168"/>
      <c r="E3" s="1166"/>
      <c r="F3" s="1166"/>
      <c r="G3" s="1166"/>
      <c r="H3" s="1166"/>
    </row>
    <row r="4" spans="1:8" ht="30" customHeight="1">
      <c r="A4" s="324">
        <v>1</v>
      </c>
      <c r="B4" s="318" t="s">
        <v>186</v>
      </c>
      <c r="C4" s="1164"/>
      <c r="D4" s="1165"/>
      <c r="E4" s="327" t="s">
        <v>506</v>
      </c>
      <c r="F4" s="319"/>
      <c r="G4" s="318" t="s">
        <v>507</v>
      </c>
      <c r="H4" s="320"/>
    </row>
    <row r="5" spans="1:8" ht="75" customHeight="1">
      <c r="A5" s="321" t="s">
        <v>505</v>
      </c>
      <c r="B5" s="1159"/>
      <c r="C5" s="1160"/>
      <c r="D5" s="1160"/>
      <c r="E5" s="1160"/>
      <c r="F5" s="1160"/>
      <c r="G5" s="1160"/>
      <c r="H5" s="1161"/>
    </row>
    <row r="6" spans="1:8" ht="45" customHeight="1" thickBot="1">
      <c r="A6" s="321" t="s">
        <v>508</v>
      </c>
      <c r="B6" s="1172"/>
      <c r="C6" s="1173"/>
      <c r="D6" s="1173"/>
      <c r="E6" s="1173"/>
      <c r="F6" s="1173"/>
      <c r="G6" s="1173"/>
      <c r="H6" s="1174"/>
    </row>
    <row r="7" spans="1:8" ht="30" customHeight="1">
      <c r="A7" s="324">
        <v>1</v>
      </c>
      <c r="B7" s="322" t="s">
        <v>186</v>
      </c>
      <c r="C7" s="1164"/>
      <c r="D7" s="1165"/>
      <c r="E7" s="328" t="s">
        <v>506</v>
      </c>
      <c r="F7" s="325"/>
      <c r="G7" s="322" t="s">
        <v>507</v>
      </c>
      <c r="H7" s="326"/>
    </row>
    <row r="8" spans="1:8" ht="75" customHeight="1">
      <c r="A8" s="321" t="s">
        <v>505</v>
      </c>
      <c r="B8" s="1159"/>
      <c r="C8" s="1160"/>
      <c r="D8" s="1160"/>
      <c r="E8" s="1160"/>
      <c r="F8" s="1160"/>
      <c r="G8" s="1160"/>
      <c r="H8" s="1161"/>
    </row>
    <row r="9" spans="1:8" ht="45" customHeight="1" thickBot="1">
      <c r="A9" s="323" t="s">
        <v>508</v>
      </c>
      <c r="B9" s="1172"/>
      <c r="C9" s="1173"/>
      <c r="D9" s="1173"/>
      <c r="E9" s="1173"/>
      <c r="F9" s="1173"/>
      <c r="G9" s="1173"/>
      <c r="H9" s="1174"/>
    </row>
    <row r="10" spans="1:8" ht="30" customHeight="1">
      <c r="A10" s="324">
        <v>2</v>
      </c>
      <c r="B10" s="318" t="s">
        <v>186</v>
      </c>
      <c r="C10" s="1170"/>
      <c r="D10" s="1171"/>
      <c r="E10" s="327" t="s">
        <v>506</v>
      </c>
      <c r="F10" s="319"/>
      <c r="G10" s="318" t="s">
        <v>507</v>
      </c>
      <c r="H10" s="320"/>
    </row>
    <row r="11" spans="1:8" ht="75" customHeight="1">
      <c r="A11" s="321" t="s">
        <v>505</v>
      </c>
      <c r="B11" s="1159"/>
      <c r="C11" s="1160"/>
      <c r="D11" s="1160"/>
      <c r="E11" s="1160"/>
      <c r="F11" s="1160"/>
      <c r="G11" s="1160"/>
      <c r="H11" s="1161"/>
    </row>
    <row r="12" spans="1:8" ht="45" customHeight="1" thickBot="1">
      <c r="A12" s="321" t="s">
        <v>508</v>
      </c>
      <c r="B12" s="1172"/>
      <c r="C12" s="1173"/>
      <c r="D12" s="1173"/>
      <c r="E12" s="1173"/>
      <c r="F12" s="1173"/>
      <c r="G12" s="1173"/>
      <c r="H12" s="1174"/>
    </row>
    <row r="13" spans="1:8" ht="30" customHeight="1">
      <c r="A13" s="324">
        <v>2</v>
      </c>
      <c r="B13" s="322" t="s">
        <v>186</v>
      </c>
      <c r="C13" s="1164"/>
      <c r="D13" s="1165"/>
      <c r="E13" s="328" t="s">
        <v>506</v>
      </c>
      <c r="F13" s="325"/>
      <c r="G13" s="322" t="s">
        <v>507</v>
      </c>
      <c r="H13" s="326"/>
    </row>
    <row r="14" spans="1:8" ht="75" customHeight="1">
      <c r="A14" s="321" t="s">
        <v>505</v>
      </c>
      <c r="B14" s="1159"/>
      <c r="C14" s="1160"/>
      <c r="D14" s="1160"/>
      <c r="E14" s="1160"/>
      <c r="F14" s="1160"/>
      <c r="G14" s="1160"/>
      <c r="H14" s="1161"/>
    </row>
    <row r="15" spans="1:8" ht="45" customHeight="1" thickBot="1">
      <c r="A15" s="323" t="s">
        <v>508</v>
      </c>
      <c r="B15" s="1172"/>
      <c r="C15" s="1173"/>
      <c r="D15" s="1173"/>
      <c r="E15" s="1173"/>
      <c r="F15" s="1173"/>
      <c r="G15" s="1173"/>
      <c r="H15" s="1174"/>
    </row>
    <row r="16" spans="1:8" ht="30" customHeight="1">
      <c r="A16" s="317" t="s">
        <v>543</v>
      </c>
      <c r="B16" s="1163"/>
      <c r="C16" s="1163"/>
      <c r="D16" s="317" t="s">
        <v>544</v>
      </c>
      <c r="E16" s="1163"/>
      <c r="F16" s="1163"/>
      <c r="G16" s="1163"/>
      <c r="H16" s="1163"/>
    </row>
  </sheetData>
  <sheetCalcPr fullCalcOnLoad="1"/>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zoomScale="90" workbookViewId="0">
      <selection activeCell="J89" sqref="J89"/>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6" t="s">
        <v>129</v>
      </c>
      <c r="B1" s="1176"/>
      <c r="C1" s="1179" t="s">
        <v>470</v>
      </c>
      <c r="D1" s="1179"/>
      <c r="E1" s="1179"/>
      <c r="F1" s="1180">
        <f ca="1">IF(ISBLANK(IBRF!$B$5), "", IBRF!$B$5)</f>
        <v>41377</v>
      </c>
      <c r="G1" s="1175">
        <v>1</v>
      </c>
      <c r="H1" s="1176" t="s">
        <v>130</v>
      </c>
      <c r="I1" s="1176"/>
      <c r="J1" s="1179" t="s">
        <v>470</v>
      </c>
      <c r="K1" s="1179"/>
      <c r="L1" s="1179"/>
      <c r="M1" s="1180">
        <f ca="1">IF(ISBLANK(IBRF!$B$5), "", IBRF!$B$5)</f>
        <v>41377</v>
      </c>
      <c r="N1" s="1175">
        <v>2</v>
      </c>
    </row>
    <row r="2" spans="1:14" ht="15" customHeight="1">
      <c r="A2" s="1177"/>
      <c r="B2" s="1177"/>
      <c r="C2" s="1079" t="str">
        <f ca="1">Score!$T$1</f>
        <v>Pistolwhippers</v>
      </c>
      <c r="D2" s="1079"/>
      <c r="E2" s="1079"/>
      <c r="F2" s="1181"/>
      <c r="G2" s="1175"/>
      <c r="H2" s="1177"/>
      <c r="I2" s="1177"/>
      <c r="J2" s="1079" t="str">
        <f>C2</f>
        <v>Pistolwhippers</v>
      </c>
      <c r="K2" s="1079"/>
      <c r="L2" s="1079"/>
      <c r="M2" s="1181"/>
      <c r="N2" s="1175"/>
    </row>
    <row r="3" spans="1:14" ht="15" customHeight="1">
      <c r="A3" s="1178" t="s">
        <v>469</v>
      </c>
      <c r="B3" s="1178"/>
      <c r="C3" s="1079"/>
      <c r="D3" s="1079"/>
      <c r="E3" s="1079"/>
      <c r="F3" s="82" t="s">
        <v>577</v>
      </c>
      <c r="G3" s="83" t="str">
        <f ca="1">IF(ISBLANK(Score!$R$2), "", Score!$R$2)</f>
        <v>BOUT 199</v>
      </c>
      <c r="H3" s="1178" t="s">
        <v>469</v>
      </c>
      <c r="I3" s="1178"/>
      <c r="J3" s="1079"/>
      <c r="K3" s="1079"/>
      <c r="L3" s="1079"/>
      <c r="M3" s="82" t="s">
        <v>577</v>
      </c>
      <c r="N3" s="83" t="str">
        <f ca="1">IF(ISBLANK(Score!$R$2), "", Score!$R$2)</f>
        <v>BOUT 199</v>
      </c>
    </row>
    <row r="4" spans="1:14" s="25" customFormat="1" ht="24" customHeight="1">
      <c r="A4" s="1185" t="str">
        <f ca="1">Score!A1</f>
        <v>Detroit Pistoffs</v>
      </c>
      <c r="B4" s="1186"/>
      <c r="C4" s="688" t="s">
        <v>427</v>
      </c>
      <c r="D4" s="689" t="s">
        <v>428</v>
      </c>
      <c r="E4" s="689" t="s">
        <v>429</v>
      </c>
      <c r="F4" s="689" t="s">
        <v>430</v>
      </c>
      <c r="G4" s="690" t="s">
        <v>83</v>
      </c>
      <c r="H4" s="1185" t="str">
        <f t="shared" ref="H4:H45" si="0">A4</f>
        <v>Detroit Pistoffs</v>
      </c>
      <c r="I4" s="1186"/>
      <c r="J4" s="688" t="s">
        <v>427</v>
      </c>
      <c r="K4" s="689" t="s">
        <v>428</v>
      </c>
      <c r="L4" s="689" t="s">
        <v>429</v>
      </c>
      <c r="M4" s="689" t="s">
        <v>430</v>
      </c>
      <c r="N4" s="690" t="s">
        <v>83</v>
      </c>
    </row>
    <row r="5" spans="1:14" ht="15.75" customHeight="1">
      <c r="A5" s="679" t="str">
        <f ca="1">IF(IBRF!B11="","",IBRF!B11)</f>
        <v>138</v>
      </c>
      <c r="B5" s="680" t="str">
        <f ca="1">IF(IBRF!C11="","",IBRF!C11)</f>
        <v>Mag Pie</v>
      </c>
      <c r="C5" s="86">
        <v>1</v>
      </c>
      <c r="D5" s="87"/>
      <c r="E5" s="87"/>
      <c r="F5" s="87"/>
      <c r="G5" s="88"/>
      <c r="H5" s="679" t="str">
        <f t="shared" si="0"/>
        <v>138</v>
      </c>
      <c r="I5" s="680" t="str">
        <f t="shared" ref="I5:I24" si="1">B5</f>
        <v>Mag Pie</v>
      </c>
      <c r="J5" s="86"/>
      <c r="K5" s="87">
        <v>1</v>
      </c>
      <c r="L5" s="87"/>
      <c r="M5" s="87"/>
      <c r="N5" s="88">
        <v>1</v>
      </c>
    </row>
    <row r="6" spans="1:14" ht="15.75" customHeight="1">
      <c r="A6" s="681" t="str">
        <f ca="1">IF(IBRF!B12="","",IBRF!B12)</f>
        <v>181</v>
      </c>
      <c r="B6" s="682" t="str">
        <f ca="1">IF(IBRF!C12="","",IBRF!C12)</f>
        <v>Vega Vendetta</v>
      </c>
      <c r="C6" s="683"/>
      <c r="D6" s="684"/>
      <c r="E6" s="684">
        <v>3</v>
      </c>
      <c r="F6" s="684"/>
      <c r="G6" s="685"/>
      <c r="H6" s="681" t="str">
        <f t="shared" si="0"/>
        <v>181</v>
      </c>
      <c r="I6" s="682" t="str">
        <f t="shared" si="1"/>
        <v>Vega Vendetta</v>
      </c>
      <c r="J6" s="683"/>
      <c r="K6" s="684"/>
      <c r="L6" s="684"/>
      <c r="M6" s="684"/>
      <c r="N6" s="685">
        <v>1</v>
      </c>
    </row>
    <row r="7" spans="1:14" ht="15.75" customHeight="1">
      <c r="A7" s="679" t="str">
        <f ca="1">IF(IBRF!B13="","",IBRF!B13)</f>
        <v>1821</v>
      </c>
      <c r="B7" s="680" t="str">
        <f ca="1">IF(IBRF!C13="","",IBRF!C13)</f>
        <v>Mexi-Go</v>
      </c>
      <c r="C7" s="86">
        <v>3</v>
      </c>
      <c r="D7" s="87">
        <v>1</v>
      </c>
      <c r="E7" s="87">
        <v>6</v>
      </c>
      <c r="F7" s="87">
        <v>2</v>
      </c>
      <c r="G7" s="88"/>
      <c r="H7" s="679" t="str">
        <f t="shared" si="0"/>
        <v>1821</v>
      </c>
      <c r="I7" s="680" t="str">
        <f t="shared" si="1"/>
        <v>Mexi-Go</v>
      </c>
      <c r="J7" s="86"/>
      <c r="K7" s="87">
        <v>2</v>
      </c>
      <c r="L7" s="87">
        <v>2</v>
      </c>
      <c r="M7" s="87">
        <v>1</v>
      </c>
      <c r="N7" s="88"/>
    </row>
    <row r="8" spans="1:14" ht="15.75" customHeight="1">
      <c r="A8" s="681" t="str">
        <f ca="1">IF(IBRF!B14="","",IBRF!B14)</f>
        <v>187</v>
      </c>
      <c r="B8" s="682" t="str">
        <f ca="1">IF(IBRF!C14="","",IBRF!C14)</f>
        <v>VeroniKILL</v>
      </c>
      <c r="C8" s="683">
        <v>4</v>
      </c>
      <c r="D8" s="684"/>
      <c r="E8" s="684">
        <v>2</v>
      </c>
      <c r="F8" s="684"/>
      <c r="G8" s="685"/>
      <c r="H8" s="681" t="str">
        <f t="shared" si="0"/>
        <v>187</v>
      </c>
      <c r="I8" s="682" t="str">
        <f t="shared" si="1"/>
        <v>VeroniKILL</v>
      </c>
      <c r="J8" s="683"/>
      <c r="K8" s="684">
        <v>2</v>
      </c>
      <c r="L8" s="684"/>
      <c r="M8" s="684">
        <v>1</v>
      </c>
      <c r="N8" s="685">
        <v>2</v>
      </c>
    </row>
    <row r="9" spans="1:14" ht="15.75" customHeight="1">
      <c r="A9" s="679" t="str">
        <f ca="1">IF(IBRF!B15="","",IBRF!B15)</f>
        <v>1879</v>
      </c>
      <c r="B9" s="680" t="str">
        <f ca="1">IF(IBRF!C15="","",IBRF!C15)</f>
        <v>Belle Isle Hurtya</v>
      </c>
      <c r="C9" s="86">
        <v>1</v>
      </c>
      <c r="D9" s="87"/>
      <c r="E9" s="87">
        <v>1</v>
      </c>
      <c r="F9" s="87"/>
      <c r="G9" s="88"/>
      <c r="H9" s="679" t="str">
        <f t="shared" si="0"/>
        <v>1879</v>
      </c>
      <c r="I9" s="680" t="str">
        <f t="shared" si="1"/>
        <v>Belle Isle Hurtya</v>
      </c>
      <c r="J9" s="86"/>
      <c r="K9" s="87"/>
      <c r="L9" s="87"/>
      <c r="M9" s="87"/>
      <c r="N9" s="88"/>
    </row>
    <row r="10" spans="1:14" ht="15.75" customHeight="1">
      <c r="A10" s="681" t="str">
        <f ca="1">IF(IBRF!B16="","",IBRF!B16)</f>
        <v>20</v>
      </c>
      <c r="B10" s="682" t="str">
        <f ca="1">IF(IBRF!C16="","",IBRF!C16)</f>
        <v>Devil Kitty</v>
      </c>
      <c r="C10" s="683"/>
      <c r="D10" s="684">
        <v>1</v>
      </c>
      <c r="E10" s="684"/>
      <c r="F10" s="684"/>
      <c r="G10" s="685"/>
      <c r="H10" s="681" t="str">
        <f t="shared" si="0"/>
        <v>20</v>
      </c>
      <c r="I10" s="682" t="str">
        <f t="shared" si="1"/>
        <v>Devil Kitty</v>
      </c>
      <c r="J10" s="683">
        <v>1</v>
      </c>
      <c r="K10" s="684">
        <v>2</v>
      </c>
      <c r="L10" s="684">
        <v>1</v>
      </c>
      <c r="M10" s="684"/>
      <c r="N10" s="685"/>
    </row>
    <row r="11" spans="1:14" ht="15.75" customHeight="1">
      <c r="A11" s="679" t="str">
        <f ca="1">IF(IBRF!B17="","",IBRF!B17)</f>
        <v>20KN</v>
      </c>
      <c r="B11" s="680" t="str">
        <f ca="1">IF(IBRF!C17="","",IBRF!C17)</f>
        <v>Kraken Whips</v>
      </c>
      <c r="C11" s="86">
        <v>1</v>
      </c>
      <c r="D11" s="87"/>
      <c r="E11" s="87"/>
      <c r="F11" s="87"/>
      <c r="G11" s="88"/>
      <c r="H11" s="679" t="str">
        <f t="shared" si="0"/>
        <v>20KN</v>
      </c>
      <c r="I11" s="680" t="str">
        <f t="shared" si="1"/>
        <v>Kraken Whips</v>
      </c>
      <c r="J11" s="86">
        <v>1</v>
      </c>
      <c r="K11" s="87"/>
      <c r="L11" s="87">
        <v>2</v>
      </c>
      <c r="M11" s="87">
        <v>1</v>
      </c>
      <c r="N11" s="88"/>
    </row>
    <row r="12" spans="1:14" ht="15.75" customHeight="1">
      <c r="A12" s="681" t="str">
        <f ca="1">IF(IBRF!B18="","",IBRF!B18)</f>
        <v>212</v>
      </c>
      <c r="B12" s="682" t="str">
        <f ca="1">IF(IBRF!C18="","",IBRF!C18)</f>
        <v>Wham!tramck</v>
      </c>
      <c r="C12" s="683">
        <v>7</v>
      </c>
      <c r="D12" s="684">
        <v>4</v>
      </c>
      <c r="E12" s="684">
        <v>3</v>
      </c>
      <c r="F12" s="684">
        <v>1</v>
      </c>
      <c r="G12" s="685"/>
      <c r="H12" s="681" t="str">
        <f t="shared" si="0"/>
        <v>212</v>
      </c>
      <c r="I12" s="682" t="str">
        <f t="shared" si="1"/>
        <v>Wham!tramck</v>
      </c>
      <c r="J12" s="683">
        <v>1</v>
      </c>
      <c r="K12" s="684">
        <v>2</v>
      </c>
      <c r="L12" s="684"/>
      <c r="M12" s="684"/>
      <c r="N12" s="685"/>
    </row>
    <row r="13" spans="1:14" ht="15.75" customHeight="1">
      <c r="A13" s="679" t="str">
        <f ca="1">IF(IBRF!B19="","",IBRF!B19)</f>
        <v>33 1/3</v>
      </c>
      <c r="B13" s="680" t="str">
        <f ca="1">IF(IBRF!C19="","",IBRF!C19)</f>
        <v>Cookie Rumble</v>
      </c>
      <c r="C13" s="86">
        <v>2</v>
      </c>
      <c r="D13" s="87">
        <v>1</v>
      </c>
      <c r="E13" s="87">
        <v>7</v>
      </c>
      <c r="F13" s="87"/>
      <c r="G13" s="88">
        <v>2</v>
      </c>
      <c r="H13" s="679" t="str">
        <f t="shared" si="0"/>
        <v>33 1/3</v>
      </c>
      <c r="I13" s="680" t="str">
        <f t="shared" si="1"/>
        <v>Cookie Rumble</v>
      </c>
      <c r="J13" s="86">
        <v>4</v>
      </c>
      <c r="K13" s="87">
        <v>3</v>
      </c>
      <c r="L13" s="87">
        <v>3</v>
      </c>
      <c r="M13" s="87">
        <v>3</v>
      </c>
      <c r="N13" s="88"/>
    </row>
    <row r="14" spans="1:14" ht="15.75" customHeight="1">
      <c r="A14" s="681" t="str">
        <f ca="1">IF(IBRF!B20="","",IBRF!B20)</f>
        <v>428</v>
      </c>
      <c r="B14" s="682" t="str">
        <f ca="1">IF(IBRF!C20="","",IBRF!C20)</f>
        <v>Freakin' Rican</v>
      </c>
      <c r="C14" s="683">
        <v>2</v>
      </c>
      <c r="D14" s="684"/>
      <c r="E14" s="684">
        <v>1</v>
      </c>
      <c r="F14" s="684">
        <v>2</v>
      </c>
      <c r="G14" s="685"/>
      <c r="H14" s="681" t="str">
        <f t="shared" si="0"/>
        <v>428</v>
      </c>
      <c r="I14" s="682" t="str">
        <f t="shared" si="1"/>
        <v>Freakin' Rican</v>
      </c>
      <c r="J14" s="683"/>
      <c r="K14" s="684"/>
      <c r="L14" s="684">
        <v>1</v>
      </c>
      <c r="M14" s="684">
        <v>1</v>
      </c>
      <c r="N14" s="685"/>
    </row>
    <row r="15" spans="1:14" ht="15.75" customHeight="1">
      <c r="A15" s="679" t="str">
        <f ca="1">IF(IBRF!B21="","",IBRF!B21)</f>
        <v>6</v>
      </c>
      <c r="B15" s="680" t="str">
        <f ca="1">IF(IBRF!C21="","",IBRF!C21)</f>
        <v>Elle McFearsome</v>
      </c>
      <c r="C15" s="86">
        <v>2</v>
      </c>
      <c r="D15" s="87">
        <v>3</v>
      </c>
      <c r="E15" s="87">
        <v>6</v>
      </c>
      <c r="F15" s="87">
        <v>3</v>
      </c>
      <c r="G15" s="88"/>
      <c r="H15" s="679" t="str">
        <f t="shared" si="0"/>
        <v>6</v>
      </c>
      <c r="I15" s="680" t="str">
        <f t="shared" si="1"/>
        <v>Elle McFearsome</v>
      </c>
      <c r="J15" s="86">
        <v>7</v>
      </c>
      <c r="K15" s="87">
        <v>2</v>
      </c>
      <c r="L15" s="87"/>
      <c r="M15" s="87">
        <v>3</v>
      </c>
      <c r="N15" s="88">
        <v>3</v>
      </c>
    </row>
    <row r="16" spans="1:14" ht="15.75" customHeight="1">
      <c r="A16" s="681" t="str">
        <f ca="1">IF(IBRF!B22="","",IBRF!B22)</f>
        <v>728</v>
      </c>
      <c r="B16" s="682" t="str">
        <f ca="1">IF(IBRF!C22="","",IBRF!C22)</f>
        <v>Combat Cat</v>
      </c>
      <c r="C16" s="683">
        <v>3</v>
      </c>
      <c r="D16" s="684">
        <v>2</v>
      </c>
      <c r="E16" s="684">
        <v>4</v>
      </c>
      <c r="F16" s="684">
        <v>2</v>
      </c>
      <c r="G16" s="685"/>
      <c r="H16" s="681" t="str">
        <f t="shared" si="0"/>
        <v>728</v>
      </c>
      <c r="I16" s="682" t="str">
        <f t="shared" si="1"/>
        <v>Combat Cat</v>
      </c>
      <c r="J16" s="683">
        <v>4</v>
      </c>
      <c r="K16" s="684">
        <v>3</v>
      </c>
      <c r="L16" s="684">
        <v>1</v>
      </c>
      <c r="M16" s="684">
        <v>2</v>
      </c>
      <c r="N16" s="685"/>
    </row>
    <row r="17" spans="1:14" ht="15.75" customHeight="1">
      <c r="A17" s="679" t="str">
        <f ca="1">IF(IBRF!B23="","",IBRF!B23)</f>
        <v>80</v>
      </c>
      <c r="B17" s="680" t="str">
        <f ca="1">IF(IBRF!C23="","",IBRF!C23)</f>
        <v>Mean Streak</v>
      </c>
      <c r="C17" s="86"/>
      <c r="D17" s="87">
        <v>1</v>
      </c>
      <c r="E17" s="87">
        <v>1</v>
      </c>
      <c r="F17" s="87"/>
      <c r="G17" s="88"/>
      <c r="H17" s="679" t="str">
        <f t="shared" si="0"/>
        <v>80</v>
      </c>
      <c r="I17" s="680" t="str">
        <f t="shared" si="1"/>
        <v>Mean Streak</v>
      </c>
      <c r="J17" s="86">
        <v>2</v>
      </c>
      <c r="K17" s="87">
        <v>1</v>
      </c>
      <c r="L17" s="87"/>
      <c r="M17" s="87"/>
      <c r="N17" s="88"/>
    </row>
    <row r="18" spans="1:14" ht="15.75" customHeight="1">
      <c r="A18" s="703" t="str">
        <f ca="1">IF(IBRF!B24="","",IBRF!B24)</f>
        <v>9.99</v>
      </c>
      <c r="B18" s="704" t="str">
        <f ca="1">IF(IBRF!C24="","",IBRF!C24)</f>
        <v>U.S.S. DentHerPrize</v>
      </c>
      <c r="C18" s="705"/>
      <c r="D18" s="706"/>
      <c r="E18" s="706"/>
      <c r="F18" s="706"/>
      <c r="G18" s="707"/>
      <c r="H18" s="703" t="str">
        <f t="shared" si="0"/>
        <v>9.99</v>
      </c>
      <c r="I18" s="704" t="str">
        <f t="shared" si="1"/>
        <v>U.S.S. DentHerPrize</v>
      </c>
      <c r="J18" s="683"/>
      <c r="K18" s="684"/>
      <c r="L18" s="684"/>
      <c r="M18" s="684"/>
      <c r="N18" s="685"/>
    </row>
    <row r="19" spans="1:14" ht="15.75" customHeight="1">
      <c r="A19" s="679" t="str">
        <f ca="1">IF(IBRF!B25="","",IBRF!B25)</f>
        <v>F14</v>
      </c>
      <c r="B19" s="680" t="str">
        <f ca="1">IF(IBRF!C25="","",IBRF!C25)</f>
        <v>Apertorture</v>
      </c>
      <c r="C19" s="86"/>
      <c r="D19" s="87"/>
      <c r="E19" s="87">
        <v>1</v>
      </c>
      <c r="F19" s="87"/>
      <c r="G19" s="88"/>
      <c r="H19" s="679" t="str">
        <f t="shared" si="0"/>
        <v>F14</v>
      </c>
      <c r="I19" s="680" t="str">
        <f t="shared" si="1"/>
        <v>Apertorture</v>
      </c>
      <c r="J19" s="86"/>
      <c r="K19" s="87"/>
      <c r="L19" s="87"/>
      <c r="M19" s="87"/>
      <c r="N19" s="88"/>
    </row>
    <row r="20" spans="1:14" ht="15.75" customHeight="1">
      <c r="A20" s="681" t="str">
        <f ca="1">IF(IBRF!B26="","",IBRF!B26)</f>
        <v/>
      </c>
      <c r="B20" s="682" t="str">
        <f ca="1">IF(IBRF!C26="","",IBRF!C26)</f>
        <v/>
      </c>
      <c r="C20" s="683"/>
      <c r="D20" s="684"/>
      <c r="E20" s="684"/>
      <c r="F20" s="684"/>
      <c r="G20" s="685"/>
      <c r="H20" s="681" t="str">
        <f t="shared" si="0"/>
        <v/>
      </c>
      <c r="I20" s="682" t="str">
        <f t="shared" si="1"/>
        <v/>
      </c>
      <c r="J20" s="683"/>
      <c r="K20" s="684"/>
      <c r="L20" s="684"/>
      <c r="M20" s="684"/>
      <c r="N20" s="685"/>
    </row>
    <row r="21" spans="1:14" ht="15.75" customHeight="1">
      <c r="A21" s="679" t="str">
        <f ca="1">IF(IBRF!B27="","",IBRF!B27)</f>
        <v/>
      </c>
      <c r="B21" s="680" t="str">
        <f ca="1">IF(IBRF!C27="","",IBRF!C27)</f>
        <v/>
      </c>
      <c r="C21" s="86"/>
      <c r="D21" s="87"/>
      <c r="E21" s="87"/>
      <c r="F21" s="87"/>
      <c r="G21" s="88"/>
      <c r="H21" s="679" t="str">
        <f t="shared" si="0"/>
        <v/>
      </c>
      <c r="I21" s="680" t="str">
        <f t="shared" si="1"/>
        <v/>
      </c>
      <c r="J21" s="86"/>
      <c r="K21" s="87"/>
      <c r="L21" s="87"/>
      <c r="M21" s="87"/>
      <c r="N21" s="88"/>
    </row>
    <row r="22" spans="1:14" ht="15.75" customHeight="1">
      <c r="A22" s="681" t="str">
        <f ca="1">IF(IBRF!B28="","",IBRF!B28)</f>
        <v/>
      </c>
      <c r="B22" s="682" t="str">
        <f ca="1">IF(IBRF!C28="","",IBRF!C28)</f>
        <v/>
      </c>
      <c r="C22" s="683"/>
      <c r="D22" s="684"/>
      <c r="E22" s="684"/>
      <c r="F22" s="684"/>
      <c r="G22" s="685"/>
      <c r="H22" s="681" t="str">
        <f t="shared" si="0"/>
        <v/>
      </c>
      <c r="I22" s="682" t="str">
        <f t="shared" si="1"/>
        <v/>
      </c>
      <c r="J22" s="683"/>
      <c r="K22" s="684"/>
      <c r="L22" s="684"/>
      <c r="M22" s="684"/>
      <c r="N22" s="685"/>
    </row>
    <row r="23" spans="1:14" ht="15.75" customHeight="1">
      <c r="A23" s="679" t="str">
        <f ca="1">IF(IBRF!B29="","",IBRF!B29)</f>
        <v/>
      </c>
      <c r="B23" s="680" t="str">
        <f ca="1">IF(IBRF!C29="","",IBRF!C29)</f>
        <v/>
      </c>
      <c r="C23" s="86"/>
      <c r="D23" s="87"/>
      <c r="E23" s="87"/>
      <c r="F23" s="87"/>
      <c r="G23" s="88"/>
      <c r="H23" s="679" t="str">
        <f t="shared" si="0"/>
        <v/>
      </c>
      <c r="I23" s="680" t="str">
        <f t="shared" si="1"/>
        <v/>
      </c>
      <c r="J23" s="86"/>
      <c r="K23" s="87"/>
      <c r="L23" s="87"/>
      <c r="M23" s="87"/>
      <c r="N23" s="88"/>
    </row>
    <row r="24" spans="1:14" ht="15.75" customHeight="1">
      <c r="A24" s="681" t="str">
        <f ca="1">IF(IBRF!B30="","",IBRF!B30)</f>
        <v/>
      </c>
      <c r="B24" s="682" t="str">
        <f ca="1">IF(IBRF!C30="","",IBRF!C30)</f>
        <v/>
      </c>
      <c r="C24" s="683"/>
      <c r="D24" s="684"/>
      <c r="E24" s="684"/>
      <c r="F24" s="684"/>
      <c r="G24" s="685"/>
      <c r="H24" s="681" t="str">
        <f t="shared" si="0"/>
        <v/>
      </c>
      <c r="I24" s="682" t="str">
        <f t="shared" si="1"/>
        <v/>
      </c>
      <c r="J24" s="683"/>
      <c r="K24" s="684"/>
      <c r="L24" s="684"/>
      <c r="M24" s="684"/>
      <c r="N24" s="685"/>
    </row>
    <row r="25" spans="1:14" s="25" customFormat="1" ht="24" customHeight="1">
      <c r="A25" s="1187" t="str">
        <f ca="1">C2</f>
        <v>Pistolwhippers</v>
      </c>
      <c r="B25" s="1188"/>
      <c r="C25" s="687" t="s">
        <v>84</v>
      </c>
      <c r="D25" s="687" t="s">
        <v>85</v>
      </c>
      <c r="E25" s="687" t="s">
        <v>137</v>
      </c>
      <c r="F25" s="687" t="s">
        <v>138</v>
      </c>
      <c r="G25" s="687" t="s">
        <v>86</v>
      </c>
      <c r="H25" s="1187" t="str">
        <f t="shared" si="0"/>
        <v>Pistolwhippers</v>
      </c>
      <c r="I25" s="1188"/>
      <c r="J25" s="687" t="s">
        <v>84</v>
      </c>
      <c r="K25" s="687" t="s">
        <v>85</v>
      </c>
      <c r="L25" s="687" t="s">
        <v>137</v>
      </c>
      <c r="M25" s="687" t="s">
        <v>138</v>
      </c>
      <c r="N25" s="687" t="s">
        <v>86</v>
      </c>
    </row>
    <row r="26" spans="1:14" ht="15.75" customHeight="1">
      <c r="A26" s="679" t="str">
        <f ca="1">IF(IBRF!H11="","",IBRF!H11)</f>
        <v>182</v>
      </c>
      <c r="B26" s="680" t="str">
        <f ca="1">IF(IBRF!I11="","",IBRF!I11)</f>
        <v>Travis Blocker</v>
      </c>
      <c r="C26" s="86"/>
      <c r="D26" s="87"/>
      <c r="E26" s="87"/>
      <c r="F26" s="87"/>
      <c r="G26" s="88"/>
      <c r="H26" s="679" t="str">
        <f t="shared" si="0"/>
        <v>182</v>
      </c>
      <c r="I26" s="680" t="str">
        <f t="shared" ref="I26:I45" si="2">B26</f>
        <v>Travis Blocker</v>
      </c>
      <c r="J26" s="86"/>
      <c r="K26" s="87"/>
      <c r="L26" s="87"/>
      <c r="M26" s="87"/>
      <c r="N26" s="88"/>
    </row>
    <row r="27" spans="1:14" ht="15.75" customHeight="1">
      <c r="A27" s="681" t="str">
        <f ca="1">IF(IBRF!H12="","",IBRF!H12)</f>
        <v>2¢</v>
      </c>
      <c r="B27" s="682" t="str">
        <f ca="1">IF(IBRF!I12="","",IBRF!I12)</f>
        <v>Vera Toss</v>
      </c>
      <c r="C27" s="683"/>
      <c r="D27" s="684"/>
      <c r="E27" s="684"/>
      <c r="F27" s="684"/>
      <c r="G27" s="685"/>
      <c r="H27" s="681" t="str">
        <f t="shared" si="0"/>
        <v>2¢</v>
      </c>
      <c r="I27" s="682" t="str">
        <f t="shared" si="2"/>
        <v>Vera Toss</v>
      </c>
      <c r="J27" s="683">
        <v>1</v>
      </c>
      <c r="K27" s="684"/>
      <c r="L27" s="684"/>
      <c r="M27" s="684"/>
      <c r="N27" s="685"/>
    </row>
    <row r="28" spans="1:14" ht="15.75" customHeight="1">
      <c r="A28" s="679" t="str">
        <f ca="1">IF(IBRF!H13="","",IBRF!H13)</f>
        <v>24/7</v>
      </c>
      <c r="B28" s="680" t="str">
        <f ca="1">IF(IBRF!I13="","",IBRF!I13)</f>
        <v>boo d. livers</v>
      </c>
      <c r="C28" s="86">
        <v>8</v>
      </c>
      <c r="D28" s="87">
        <v>1</v>
      </c>
      <c r="E28" s="87"/>
      <c r="F28" s="87">
        <v>1</v>
      </c>
      <c r="G28" s="88"/>
      <c r="H28" s="679" t="str">
        <f t="shared" si="0"/>
        <v>24/7</v>
      </c>
      <c r="I28" s="680" t="str">
        <f t="shared" si="2"/>
        <v>boo d. livers</v>
      </c>
      <c r="J28" s="86">
        <v>1</v>
      </c>
      <c r="K28" s="87"/>
      <c r="L28" s="87"/>
      <c r="M28" s="87"/>
      <c r="N28" s="88"/>
    </row>
    <row r="29" spans="1:14" ht="15.75" customHeight="1">
      <c r="A29" s="681" t="str">
        <f ca="1">IF(IBRF!H14="","",IBRF!H14)</f>
        <v>27</v>
      </c>
      <c r="B29" s="682" t="str">
        <f ca="1">IF(IBRF!I14="","",IBRF!I14)</f>
        <v>A.O. Lesgo</v>
      </c>
      <c r="C29" s="683">
        <v>1</v>
      </c>
      <c r="D29" s="684"/>
      <c r="E29" s="684"/>
      <c r="F29" s="684"/>
      <c r="G29" s="685"/>
      <c r="H29" s="681" t="str">
        <f t="shared" si="0"/>
        <v>27</v>
      </c>
      <c r="I29" s="682" t="str">
        <f t="shared" si="2"/>
        <v>A.O. Lesgo</v>
      </c>
      <c r="J29" s="683"/>
      <c r="K29" s="684"/>
      <c r="L29" s="684"/>
      <c r="M29" s="684"/>
      <c r="N29" s="685"/>
    </row>
    <row r="30" spans="1:14" ht="15.75" customHeight="1">
      <c r="A30" s="679" t="str">
        <f ca="1">IF(IBRF!H15="","",IBRF!H15)</f>
        <v>38DD</v>
      </c>
      <c r="B30" s="680" t="str">
        <f ca="1">IF(IBRF!I15="","",IBRF!I15)</f>
        <v>Tig O' Hitties</v>
      </c>
      <c r="C30" s="86">
        <v>1</v>
      </c>
      <c r="D30" s="87"/>
      <c r="E30" s="87"/>
      <c r="F30" s="87"/>
      <c r="G30" s="88"/>
      <c r="H30" s="679" t="str">
        <f t="shared" si="0"/>
        <v>38DD</v>
      </c>
      <c r="I30" s="680" t="str">
        <f t="shared" si="2"/>
        <v>Tig O' Hitties</v>
      </c>
      <c r="J30" s="86">
        <v>1</v>
      </c>
      <c r="K30" s="87"/>
      <c r="L30" s="87"/>
      <c r="M30" s="87"/>
      <c r="N30" s="88"/>
    </row>
    <row r="31" spans="1:14" ht="15.75" customHeight="1">
      <c r="A31" s="681" t="str">
        <f ca="1">IF(IBRF!H16="","",IBRF!H16)</f>
        <v>42</v>
      </c>
      <c r="B31" s="682" t="str">
        <f ca="1">IF(IBRF!I16="","",IBRF!I16)</f>
        <v>Midnite Vulture</v>
      </c>
      <c r="C31" s="683">
        <v>2</v>
      </c>
      <c r="D31" s="684"/>
      <c r="E31" s="684"/>
      <c r="F31" s="684"/>
      <c r="G31" s="685"/>
      <c r="H31" s="681" t="str">
        <f t="shared" si="0"/>
        <v>42</v>
      </c>
      <c r="I31" s="682" t="str">
        <f t="shared" si="2"/>
        <v>Midnite Vulture</v>
      </c>
      <c r="J31" s="683"/>
      <c r="K31" s="684"/>
      <c r="L31" s="684"/>
      <c r="M31" s="684"/>
      <c r="N31" s="685"/>
    </row>
    <row r="32" spans="1:14" ht="15.75" customHeight="1">
      <c r="A32" s="679" t="str">
        <f ca="1">IF(IBRF!H17="","",IBRF!H17)</f>
        <v>50</v>
      </c>
      <c r="B32" s="680" t="str">
        <f ca="1">IF(IBRF!I17="","",IBRF!I17)</f>
        <v>Sam-I-Slam</v>
      </c>
      <c r="C32" s="86">
        <v>1</v>
      </c>
      <c r="D32" s="87"/>
      <c r="E32" s="87"/>
      <c r="F32" s="87"/>
      <c r="G32" s="88"/>
      <c r="H32" s="679" t="str">
        <f t="shared" si="0"/>
        <v>50</v>
      </c>
      <c r="I32" s="680" t="str">
        <f t="shared" si="2"/>
        <v>Sam-I-Slam</v>
      </c>
      <c r="J32" s="86"/>
      <c r="K32" s="87"/>
      <c r="L32" s="87"/>
      <c r="M32" s="87"/>
      <c r="N32" s="88"/>
    </row>
    <row r="33" spans="1:14" ht="15.75" customHeight="1">
      <c r="A33" s="681" t="str">
        <f ca="1">IF(IBRF!H18="","",IBRF!H18)</f>
        <v>620</v>
      </c>
      <c r="B33" s="682" t="str">
        <f ca="1">IF(IBRF!I18="","",IBRF!I18)</f>
        <v>Lazer Beam</v>
      </c>
      <c r="C33" s="683"/>
      <c r="D33" s="684">
        <v>1</v>
      </c>
      <c r="E33" s="684"/>
      <c r="F33" s="684"/>
      <c r="G33" s="685"/>
      <c r="H33" s="681" t="str">
        <f t="shared" si="0"/>
        <v>620</v>
      </c>
      <c r="I33" s="682" t="str">
        <f t="shared" si="2"/>
        <v>Lazer Beam</v>
      </c>
      <c r="J33" s="683"/>
      <c r="K33" s="684"/>
      <c r="L33" s="684"/>
      <c r="M33" s="684"/>
      <c r="N33" s="685"/>
    </row>
    <row r="34" spans="1:14" ht="15.75" customHeight="1">
      <c r="A34" s="679" t="str">
        <f ca="1">IF(IBRF!H19="","",IBRF!H19)</f>
        <v>7</v>
      </c>
      <c r="B34" s="680" t="str">
        <f ca="1">IF(IBRF!I19="","",IBRF!I19)</f>
        <v>CottonCandy Princess</v>
      </c>
      <c r="C34" s="86">
        <v>2</v>
      </c>
      <c r="D34" s="87"/>
      <c r="E34" s="87"/>
      <c r="F34" s="87"/>
      <c r="G34" s="88"/>
      <c r="H34" s="679" t="str">
        <f t="shared" si="0"/>
        <v>7</v>
      </c>
      <c r="I34" s="680" t="str">
        <f t="shared" si="2"/>
        <v>CottonCandy Princess</v>
      </c>
      <c r="J34" s="86">
        <v>1</v>
      </c>
      <c r="K34" s="87"/>
      <c r="L34" s="87"/>
      <c r="M34" s="87"/>
      <c r="N34" s="88"/>
    </row>
    <row r="35" spans="1:14" ht="15.75" customHeight="1">
      <c r="A35" s="681" t="str">
        <f ca="1">IF(IBRF!H20="","",IBRF!H20)</f>
        <v>72</v>
      </c>
      <c r="B35" s="682" t="str">
        <f ca="1">IF(IBRF!I20="","",IBRF!I20)</f>
        <v>Demonica Mars</v>
      </c>
      <c r="C35" s="683"/>
      <c r="D35" s="684"/>
      <c r="E35" s="684"/>
      <c r="F35" s="684"/>
      <c r="G35" s="685"/>
      <c r="H35" s="681" t="str">
        <f t="shared" si="0"/>
        <v>72</v>
      </c>
      <c r="I35" s="682" t="str">
        <f t="shared" si="2"/>
        <v>Demonica Mars</v>
      </c>
      <c r="J35" s="683"/>
      <c r="K35" s="684"/>
      <c r="L35" s="684"/>
      <c r="M35" s="684"/>
      <c r="N35" s="685"/>
    </row>
    <row r="36" spans="1:14" ht="15.75" customHeight="1">
      <c r="A36" s="679" t="str">
        <f ca="1">IF(IBRF!H21="","",IBRF!H21)</f>
        <v>9.81</v>
      </c>
      <c r="B36" s="680" t="str">
        <f ca="1">IF(IBRF!I21="","",IBRF!I21)</f>
        <v>Uhura Belle Death</v>
      </c>
      <c r="C36" s="86"/>
      <c r="D36" s="87"/>
      <c r="E36" s="87"/>
      <c r="F36" s="87"/>
      <c r="G36" s="88"/>
      <c r="H36" s="679" t="str">
        <f t="shared" si="0"/>
        <v>9.81</v>
      </c>
      <c r="I36" s="680" t="str">
        <f t="shared" si="2"/>
        <v>Uhura Belle Death</v>
      </c>
      <c r="J36" s="86"/>
      <c r="K36" s="87"/>
      <c r="L36" s="87"/>
      <c r="M36" s="87"/>
      <c r="N36" s="88"/>
    </row>
    <row r="37" spans="1:14" ht="15.75" customHeight="1">
      <c r="A37" s="681" t="str">
        <f ca="1">IF(IBRF!H22="","",IBRF!H22)</f>
        <v>I-75</v>
      </c>
      <c r="B37" s="682" t="str">
        <f ca="1">IF(IBRF!I22="","",IBRF!I22)</f>
        <v>Diesel Doll</v>
      </c>
      <c r="C37" s="683">
        <v>3</v>
      </c>
      <c r="D37" s="684"/>
      <c r="E37" s="684"/>
      <c r="F37" s="684"/>
      <c r="G37" s="685"/>
      <c r="H37" s="681" t="str">
        <f t="shared" si="0"/>
        <v>I-75</v>
      </c>
      <c r="I37" s="682" t="str">
        <f t="shared" si="2"/>
        <v>Diesel Doll</v>
      </c>
      <c r="J37" s="683">
        <v>1</v>
      </c>
      <c r="K37" s="684">
        <v>1</v>
      </c>
      <c r="L37" s="684"/>
      <c r="M37" s="684"/>
      <c r="N37" s="685"/>
    </row>
    <row r="38" spans="1:14" ht="15.75" customHeight="1">
      <c r="A38" s="679" t="str">
        <f ca="1">IF(IBRF!H23="","",IBRF!H23)</f>
        <v>N2O</v>
      </c>
      <c r="B38" s="680" t="str">
        <f ca="1">IF(IBRF!I23="","",IBRF!I23)</f>
        <v>Cool Whip</v>
      </c>
      <c r="C38" s="86"/>
      <c r="D38" s="87"/>
      <c r="E38" s="87"/>
      <c r="F38" s="87">
        <v>1</v>
      </c>
      <c r="G38" s="88"/>
      <c r="H38" s="679" t="str">
        <f t="shared" si="0"/>
        <v>N2O</v>
      </c>
      <c r="I38" s="680" t="str">
        <f t="shared" si="2"/>
        <v>Cool Whip</v>
      </c>
      <c r="J38" s="86">
        <v>2</v>
      </c>
      <c r="K38" s="87">
        <v>1</v>
      </c>
      <c r="L38" s="87">
        <v>2</v>
      </c>
      <c r="M38" s="87"/>
      <c r="N38" s="88"/>
    </row>
    <row r="39" spans="1:14" ht="15.75" customHeight="1">
      <c r="A39" s="681" t="str">
        <f ca="1">IF(IBRF!H24="","",IBRF!H24)</f>
        <v>W00T</v>
      </c>
      <c r="B39" s="682" t="str">
        <f ca="1">IF(IBRF!I24="","",IBRF!I24)</f>
        <v>Genniferal</v>
      </c>
      <c r="C39" s="683"/>
      <c r="D39" s="684"/>
      <c r="E39" s="684"/>
      <c r="F39" s="684">
        <v>1</v>
      </c>
      <c r="G39" s="685"/>
      <c r="H39" s="681" t="str">
        <f t="shared" si="0"/>
        <v>W00T</v>
      </c>
      <c r="I39" s="682" t="str">
        <f t="shared" si="2"/>
        <v>Genniferal</v>
      </c>
      <c r="J39" s="683">
        <v>1</v>
      </c>
      <c r="K39" s="684"/>
      <c r="L39" s="684"/>
      <c r="M39" s="684"/>
      <c r="N39" s="685"/>
    </row>
    <row r="40" spans="1:14" ht="15.75" customHeight="1">
      <c r="A40" s="679" t="str">
        <f ca="1">IF(IBRF!H25="","",IBRF!H25)</f>
        <v>Z28</v>
      </c>
      <c r="B40" s="680" t="str">
        <f ca="1">IF(IBRF!I25="","",IBRF!I25)</f>
        <v>V8 Nightmare</v>
      </c>
      <c r="C40" s="86"/>
      <c r="D40" s="87"/>
      <c r="E40" s="87"/>
      <c r="F40" s="87"/>
      <c r="G40" s="88"/>
      <c r="H40" s="679" t="str">
        <f t="shared" si="0"/>
        <v>Z28</v>
      </c>
      <c r="I40" s="680" t="str">
        <f t="shared" si="2"/>
        <v>V8 Nightmare</v>
      </c>
      <c r="J40" s="86">
        <v>1</v>
      </c>
      <c r="K40" s="87"/>
      <c r="L40" s="87"/>
      <c r="M40" s="87"/>
      <c r="N40" s="88"/>
    </row>
    <row r="41" spans="1:14" ht="15.75" customHeight="1">
      <c r="A41" s="681" t="str">
        <f ca="1">IF(IBRF!H26="","",IBRF!H26)</f>
        <v/>
      </c>
      <c r="B41" s="682" t="str">
        <f ca="1">IF(IBRF!I26="","",IBRF!I26)</f>
        <v/>
      </c>
      <c r="C41" s="683"/>
      <c r="D41" s="684"/>
      <c r="E41" s="684"/>
      <c r="F41" s="684"/>
      <c r="G41" s="685"/>
      <c r="H41" s="681" t="str">
        <f t="shared" si="0"/>
        <v/>
      </c>
      <c r="I41" s="682" t="str">
        <f t="shared" si="2"/>
        <v/>
      </c>
      <c r="J41" s="683"/>
      <c r="K41" s="684"/>
      <c r="L41" s="684"/>
      <c r="M41" s="684"/>
      <c r="N41" s="685"/>
    </row>
    <row r="42" spans="1:14" ht="15.75" customHeight="1">
      <c r="A42" s="679" t="str">
        <f ca="1">IF(IBRF!H27="","",IBRF!H27)</f>
        <v/>
      </c>
      <c r="B42" s="680" t="str">
        <f ca="1">IF(IBRF!I27="","",IBRF!I27)</f>
        <v/>
      </c>
      <c r="C42" s="86"/>
      <c r="D42" s="87"/>
      <c r="E42" s="87"/>
      <c r="F42" s="87"/>
      <c r="G42" s="88"/>
      <c r="H42" s="679" t="str">
        <f t="shared" si="0"/>
        <v/>
      </c>
      <c r="I42" s="680" t="str">
        <f t="shared" si="2"/>
        <v/>
      </c>
      <c r="J42" s="86"/>
      <c r="K42" s="87"/>
      <c r="L42" s="87"/>
      <c r="M42" s="87"/>
      <c r="N42" s="88"/>
    </row>
    <row r="43" spans="1:14" ht="15.75" customHeight="1">
      <c r="A43" s="681" t="str">
        <f ca="1">IF(IBRF!H28="","",IBRF!H28)</f>
        <v/>
      </c>
      <c r="B43" s="682" t="str">
        <f ca="1">IF(IBRF!I28="","",IBRF!I28)</f>
        <v/>
      </c>
      <c r="C43" s="683"/>
      <c r="D43" s="684"/>
      <c r="E43" s="684"/>
      <c r="F43" s="684"/>
      <c r="G43" s="685"/>
      <c r="H43" s="681" t="str">
        <f t="shared" si="0"/>
        <v/>
      </c>
      <c r="I43" s="682" t="str">
        <f t="shared" si="2"/>
        <v/>
      </c>
      <c r="J43" s="683"/>
      <c r="K43" s="684"/>
      <c r="L43" s="684"/>
      <c r="M43" s="684"/>
      <c r="N43" s="685"/>
    </row>
    <row r="44" spans="1:14" ht="15.75" customHeight="1">
      <c r="A44" s="679" t="str">
        <f ca="1">IF(IBRF!H29="","",IBRF!H29)</f>
        <v/>
      </c>
      <c r="B44" s="680" t="str">
        <f ca="1">IF(IBRF!I29="","",IBRF!I29)</f>
        <v/>
      </c>
      <c r="C44" s="86"/>
      <c r="D44" s="87"/>
      <c r="E44" s="87"/>
      <c r="F44" s="87"/>
      <c r="G44" s="88"/>
      <c r="H44" s="679" t="str">
        <f t="shared" si="0"/>
        <v/>
      </c>
      <c r="I44" s="680" t="str">
        <f t="shared" si="2"/>
        <v/>
      </c>
      <c r="J44" s="86"/>
      <c r="K44" s="87"/>
      <c r="L44" s="87"/>
      <c r="M44" s="87"/>
      <c r="N44" s="88"/>
    </row>
    <row r="45" spans="1:14" ht="15.75" customHeight="1" thickBot="1">
      <c r="A45" s="681" t="str">
        <f ca="1">IF(IBRF!H30="","",IBRF!H30)</f>
        <v/>
      </c>
      <c r="B45" s="682" t="str">
        <f ca="1">IF(IBRF!I30="","",IBRF!I30)</f>
        <v/>
      </c>
      <c r="C45" s="683"/>
      <c r="D45" s="684"/>
      <c r="E45" s="684"/>
      <c r="F45" s="684"/>
      <c r="G45" s="685"/>
      <c r="H45" s="681" t="str">
        <f t="shared" si="0"/>
        <v/>
      </c>
      <c r="I45" s="682" t="str">
        <f t="shared" si="2"/>
        <v/>
      </c>
      <c r="J45" s="683"/>
      <c r="K45" s="684"/>
      <c r="L45" s="684"/>
      <c r="M45" s="684"/>
      <c r="N45" s="685"/>
    </row>
    <row r="46" spans="1:14" ht="13.5" customHeight="1">
      <c r="A46" s="1184" t="s">
        <v>713</v>
      </c>
      <c r="B46" s="1184"/>
      <c r="C46" s="1184"/>
      <c r="D46" s="1184"/>
      <c r="E46" s="1184"/>
      <c r="F46" s="1184"/>
      <c r="G46" s="1184"/>
      <c r="H46" s="1184" t="s">
        <v>713</v>
      </c>
      <c r="I46" s="1184"/>
      <c r="J46" s="1184"/>
      <c r="K46" s="1184"/>
      <c r="L46" s="1184"/>
      <c r="M46" s="1184"/>
      <c r="N46" s="1184"/>
    </row>
    <row r="47" spans="1:14" ht="13.5" customHeight="1">
      <c r="A47" s="1182" t="s">
        <v>714</v>
      </c>
      <c r="B47" s="1182"/>
      <c r="C47" s="1182"/>
      <c r="D47" s="1182"/>
      <c r="E47" s="1182"/>
      <c r="F47" s="1182"/>
      <c r="G47" s="1182"/>
      <c r="H47" s="1182" t="s">
        <v>714</v>
      </c>
      <c r="I47" s="1182"/>
      <c r="J47" s="1182"/>
      <c r="K47" s="1182"/>
      <c r="L47" s="1182"/>
      <c r="M47" s="1182"/>
      <c r="N47" s="1182"/>
    </row>
    <row r="48" spans="1:14" ht="13.5" customHeight="1">
      <c r="A48" s="1182" t="s">
        <v>715</v>
      </c>
      <c r="B48" s="1182"/>
      <c r="C48" s="1182"/>
      <c r="D48" s="1182"/>
      <c r="E48" s="1182"/>
      <c r="F48" s="1182"/>
      <c r="G48" s="1182"/>
      <c r="H48" s="1182" t="s">
        <v>715</v>
      </c>
      <c r="I48" s="1182"/>
      <c r="J48" s="1182"/>
      <c r="K48" s="1182"/>
      <c r="L48" s="1182"/>
      <c r="M48" s="1182"/>
      <c r="N48" s="1182"/>
    </row>
    <row r="49" spans="1:14" ht="13.5" customHeight="1" thickBot="1">
      <c r="A49" s="1183" t="s">
        <v>716</v>
      </c>
      <c r="B49" s="1183"/>
      <c r="C49" s="1183"/>
      <c r="D49" s="1183"/>
      <c r="E49" s="1183"/>
      <c r="F49" s="1183"/>
      <c r="G49" s="1183"/>
      <c r="H49" s="1183" t="s">
        <v>716</v>
      </c>
      <c r="I49" s="1183"/>
      <c r="J49" s="1183"/>
      <c r="K49" s="1183"/>
      <c r="L49" s="1183"/>
      <c r="M49" s="1183"/>
      <c r="N49" s="1183"/>
    </row>
    <row r="50" spans="1:14" s="25" customFormat="1" ht="15" customHeight="1">
      <c r="A50" s="1176" t="s">
        <v>130</v>
      </c>
      <c r="B50" s="1176"/>
      <c r="C50" s="1179" t="s">
        <v>470</v>
      </c>
      <c r="D50" s="1179"/>
      <c r="E50" s="1179"/>
      <c r="F50" s="1180">
        <f ca="1">IF(ISBLANK(IBRF!$B$5), "", IBRF!$B$5)</f>
        <v>41377</v>
      </c>
      <c r="G50" s="1175">
        <v>1</v>
      </c>
      <c r="H50" s="1176" t="s">
        <v>129</v>
      </c>
      <c r="I50" s="1176"/>
      <c r="J50" s="1179" t="s">
        <v>470</v>
      </c>
      <c r="K50" s="1179"/>
      <c r="L50" s="1179"/>
      <c r="M50" s="1180">
        <f ca="1">IF(ISBLANK(IBRF!$B$5), "", IBRF!$B$5)</f>
        <v>41377</v>
      </c>
      <c r="N50" s="1175">
        <v>2</v>
      </c>
    </row>
    <row r="51" spans="1:14" s="25" customFormat="1" ht="15" customHeight="1">
      <c r="A51" s="1177"/>
      <c r="B51" s="1177"/>
      <c r="C51" s="1070" t="str">
        <f ca="1">Score!$A$1</f>
        <v>Detroit Pistoffs</v>
      </c>
      <c r="D51" s="1070"/>
      <c r="E51" s="1070"/>
      <c r="F51" s="1181"/>
      <c r="G51" s="1175"/>
      <c r="H51" s="1177"/>
      <c r="I51" s="1177"/>
      <c r="J51" s="1070" t="str">
        <f>C51</f>
        <v>Detroit Pistoffs</v>
      </c>
      <c r="K51" s="1070"/>
      <c r="L51" s="1070"/>
      <c r="M51" s="1181"/>
      <c r="N51" s="1175"/>
    </row>
    <row r="52" spans="1:14" s="25" customFormat="1" ht="15" customHeight="1">
      <c r="A52" s="1178" t="s">
        <v>469</v>
      </c>
      <c r="B52" s="1178"/>
      <c r="C52" s="1070"/>
      <c r="D52" s="1070"/>
      <c r="E52" s="1070"/>
      <c r="F52" s="82" t="s">
        <v>577</v>
      </c>
      <c r="G52" s="83" t="str">
        <f ca="1">IF(ISBLANK(Score!$R$2), "", Score!$R$2)</f>
        <v>BOUT 199</v>
      </c>
      <c r="H52" s="1178" t="s">
        <v>469</v>
      </c>
      <c r="I52" s="1178"/>
      <c r="J52" s="1070"/>
      <c r="K52" s="1070"/>
      <c r="L52" s="1070"/>
      <c r="M52" s="82" t="s">
        <v>577</v>
      </c>
      <c r="N52" s="83" t="str">
        <f ca="1">IF(ISBLANK(Score!$R$2), "", Score!$R$2)</f>
        <v>BOUT 199</v>
      </c>
    </row>
    <row r="53" spans="1:14" s="25" customFormat="1" ht="24" customHeight="1">
      <c r="A53" s="1187" t="str">
        <f ca="1">Score!$T$1</f>
        <v>Pistolwhippers</v>
      </c>
      <c r="B53" s="1189"/>
      <c r="C53" s="691" t="s">
        <v>427</v>
      </c>
      <c r="D53" s="687" t="s">
        <v>428</v>
      </c>
      <c r="E53" s="692" t="s">
        <v>429</v>
      </c>
      <c r="F53" s="693" t="s">
        <v>430</v>
      </c>
      <c r="G53" s="694" t="s">
        <v>83</v>
      </c>
      <c r="H53" s="1187" t="str">
        <f t="shared" ref="H53:H94" si="3">A53</f>
        <v>Pistolwhippers</v>
      </c>
      <c r="I53" s="1189"/>
      <c r="J53" s="691" t="s">
        <v>427</v>
      </c>
      <c r="K53" s="687" t="s">
        <v>428</v>
      </c>
      <c r="L53" s="692" t="s">
        <v>429</v>
      </c>
      <c r="M53" s="693" t="s">
        <v>430</v>
      </c>
      <c r="N53" s="694" t="s">
        <v>83</v>
      </c>
    </row>
    <row r="54" spans="1:14" ht="15.75" customHeight="1">
      <c r="A54" s="679" t="str">
        <f ca="1">IF(IBRF!H11="","",IBRF!H11)</f>
        <v>182</v>
      </c>
      <c r="B54" s="680" t="str">
        <f ca="1">IF(IBRF!I11="","",IBRF!I11)</f>
        <v>Travis Blocker</v>
      </c>
      <c r="C54" s="86">
        <v>2</v>
      </c>
      <c r="D54" s="87"/>
      <c r="E54" s="87"/>
      <c r="F54" s="87"/>
      <c r="G54" s="88">
        <v>1</v>
      </c>
      <c r="H54" s="679" t="str">
        <f t="shared" si="3"/>
        <v>182</v>
      </c>
      <c r="I54" s="680" t="str">
        <f t="shared" ref="I54:I73" si="4">B54</f>
        <v>Travis Blocker</v>
      </c>
      <c r="J54" s="86">
        <v>1</v>
      </c>
      <c r="K54" s="87">
        <v>1</v>
      </c>
      <c r="L54" s="87"/>
      <c r="M54" s="87"/>
      <c r="N54" s="88"/>
    </row>
    <row r="55" spans="1:14" ht="15.75" customHeight="1">
      <c r="A55" s="681" t="str">
        <f ca="1">IF(IBRF!H12="","",IBRF!H12)</f>
        <v>2¢</v>
      </c>
      <c r="B55" s="682" t="str">
        <f ca="1">IF(IBRF!I12="","",IBRF!I12)</f>
        <v>Vera Toss</v>
      </c>
      <c r="C55" s="683">
        <v>2</v>
      </c>
      <c r="D55" s="684">
        <v>2</v>
      </c>
      <c r="E55" s="684"/>
      <c r="F55" s="684">
        <v>3</v>
      </c>
      <c r="G55" s="685"/>
      <c r="H55" s="681" t="str">
        <f t="shared" si="3"/>
        <v>2¢</v>
      </c>
      <c r="I55" s="682" t="str">
        <f t="shared" si="4"/>
        <v>Vera Toss</v>
      </c>
      <c r="J55" s="683">
        <v>1</v>
      </c>
      <c r="K55" s="684"/>
      <c r="L55" s="684">
        <v>2</v>
      </c>
      <c r="M55" s="684">
        <v>2</v>
      </c>
      <c r="N55" s="685"/>
    </row>
    <row r="56" spans="1:14" ht="15.75" customHeight="1">
      <c r="A56" s="679" t="str">
        <f ca="1">IF(IBRF!H13="","",IBRF!H13)</f>
        <v>24/7</v>
      </c>
      <c r="B56" s="680" t="str">
        <f ca="1">IF(IBRF!I13="","",IBRF!I13)</f>
        <v>boo d. livers</v>
      </c>
      <c r="C56" s="86">
        <v>1</v>
      </c>
      <c r="D56" s="87"/>
      <c r="E56" s="87">
        <v>1</v>
      </c>
      <c r="F56" s="87">
        <v>1</v>
      </c>
      <c r="G56" s="88"/>
      <c r="H56" s="679" t="str">
        <f t="shared" si="3"/>
        <v>24/7</v>
      </c>
      <c r="I56" s="680" t="str">
        <f t="shared" si="4"/>
        <v>boo d. livers</v>
      </c>
      <c r="J56" s="86">
        <v>4</v>
      </c>
      <c r="K56" s="87">
        <v>6</v>
      </c>
      <c r="L56" s="87">
        <v>7</v>
      </c>
      <c r="M56" s="87"/>
      <c r="N56" s="88"/>
    </row>
    <row r="57" spans="1:14" ht="15.75" customHeight="1">
      <c r="A57" s="681" t="str">
        <f ca="1">IF(IBRF!H14="","",IBRF!H14)</f>
        <v>27</v>
      </c>
      <c r="B57" s="682" t="str">
        <f ca="1">IF(IBRF!I14="","",IBRF!I14)</f>
        <v>A.O. Lesgo</v>
      </c>
      <c r="C57" s="683">
        <v>5</v>
      </c>
      <c r="D57" s="684"/>
      <c r="E57" s="684">
        <v>1</v>
      </c>
      <c r="F57" s="684"/>
      <c r="G57" s="685"/>
      <c r="H57" s="681" t="str">
        <f t="shared" si="3"/>
        <v>27</v>
      </c>
      <c r="I57" s="682" t="str">
        <f t="shared" si="4"/>
        <v>A.O. Lesgo</v>
      </c>
      <c r="J57" s="683">
        <v>2</v>
      </c>
      <c r="K57" s="684"/>
      <c r="L57" s="684">
        <v>2</v>
      </c>
      <c r="M57" s="684"/>
      <c r="N57" s="685"/>
    </row>
    <row r="58" spans="1:14" ht="15.75" customHeight="1">
      <c r="A58" s="679" t="str">
        <f ca="1">IF(IBRF!H15="","",IBRF!H15)</f>
        <v>38DD</v>
      </c>
      <c r="B58" s="680" t="str">
        <f ca="1">IF(IBRF!I15="","",IBRF!I15)</f>
        <v>Tig O' Hitties</v>
      </c>
      <c r="C58" s="86">
        <v>1</v>
      </c>
      <c r="D58" s="87"/>
      <c r="E58" s="87"/>
      <c r="F58" s="87"/>
      <c r="G58" s="88">
        <v>1</v>
      </c>
      <c r="H58" s="679" t="str">
        <f t="shared" si="3"/>
        <v>38DD</v>
      </c>
      <c r="I58" s="680" t="str">
        <f t="shared" si="4"/>
        <v>Tig O' Hitties</v>
      </c>
      <c r="J58" s="86">
        <v>1</v>
      </c>
      <c r="K58" s="87">
        <v>2</v>
      </c>
      <c r="L58" s="87">
        <v>4</v>
      </c>
      <c r="M58" s="87"/>
      <c r="N58" s="88"/>
    </row>
    <row r="59" spans="1:14" ht="15.75" customHeight="1">
      <c r="A59" s="681" t="str">
        <f ca="1">IF(IBRF!H16="","",IBRF!H16)</f>
        <v>42</v>
      </c>
      <c r="B59" s="682" t="str">
        <f ca="1">IF(IBRF!I16="","",IBRF!I16)</f>
        <v>Midnite Vulture</v>
      </c>
      <c r="C59" s="683"/>
      <c r="D59" s="684"/>
      <c r="E59" s="684"/>
      <c r="F59" s="684"/>
      <c r="G59" s="685"/>
      <c r="H59" s="681" t="str">
        <f t="shared" si="3"/>
        <v>42</v>
      </c>
      <c r="I59" s="682" t="str">
        <f t="shared" si="4"/>
        <v>Midnite Vulture</v>
      </c>
      <c r="J59" s="683"/>
      <c r="K59" s="684"/>
      <c r="L59" s="684">
        <v>2</v>
      </c>
      <c r="M59" s="684"/>
      <c r="N59" s="685"/>
    </row>
    <row r="60" spans="1:14" ht="15.75" customHeight="1">
      <c r="A60" s="679" t="str">
        <f ca="1">IF(IBRF!H17="","",IBRF!H17)</f>
        <v>50</v>
      </c>
      <c r="B60" s="680" t="str">
        <f ca="1">IF(IBRF!I17="","",IBRF!I17)</f>
        <v>Sam-I-Slam</v>
      </c>
      <c r="C60" s="86"/>
      <c r="D60" s="87"/>
      <c r="E60" s="87"/>
      <c r="F60" s="87"/>
      <c r="G60" s="88"/>
      <c r="H60" s="679" t="str">
        <f t="shared" si="3"/>
        <v>50</v>
      </c>
      <c r="I60" s="680" t="str">
        <f t="shared" si="4"/>
        <v>Sam-I-Slam</v>
      </c>
      <c r="J60" s="86"/>
      <c r="K60" s="87"/>
      <c r="L60" s="87"/>
      <c r="M60" s="87"/>
      <c r="N60" s="88"/>
    </row>
    <row r="61" spans="1:14" ht="15.75" customHeight="1">
      <c r="A61" s="681" t="str">
        <f ca="1">IF(IBRF!H18="","",IBRF!H18)</f>
        <v>620</v>
      </c>
      <c r="B61" s="682" t="str">
        <f ca="1">IF(IBRF!I18="","",IBRF!I18)</f>
        <v>Lazer Beam</v>
      </c>
      <c r="C61" s="683"/>
      <c r="D61" s="684"/>
      <c r="E61" s="684"/>
      <c r="F61" s="684"/>
      <c r="G61" s="685"/>
      <c r="H61" s="681" t="str">
        <f t="shared" si="3"/>
        <v>620</v>
      </c>
      <c r="I61" s="682" t="str">
        <f t="shared" si="4"/>
        <v>Lazer Beam</v>
      </c>
      <c r="J61" s="683"/>
      <c r="K61" s="684"/>
      <c r="L61" s="684"/>
      <c r="M61" s="684"/>
      <c r="N61" s="685"/>
    </row>
    <row r="62" spans="1:14" ht="15.75" customHeight="1">
      <c r="A62" s="679" t="str">
        <f ca="1">IF(IBRF!H19="","",IBRF!H19)</f>
        <v>7</v>
      </c>
      <c r="B62" s="680" t="str">
        <f ca="1">IF(IBRF!I19="","",IBRF!I19)</f>
        <v>CottonCandy Princess</v>
      </c>
      <c r="C62" s="86">
        <v>4</v>
      </c>
      <c r="D62" s="87">
        <v>2</v>
      </c>
      <c r="E62" s="87">
        <v>1</v>
      </c>
      <c r="F62" s="87"/>
      <c r="G62" s="88"/>
      <c r="H62" s="679" t="str">
        <f t="shared" si="3"/>
        <v>7</v>
      </c>
      <c r="I62" s="680" t="str">
        <f t="shared" si="4"/>
        <v>CottonCandy Princess</v>
      </c>
      <c r="J62" s="86">
        <v>4</v>
      </c>
      <c r="K62" s="87">
        <v>2</v>
      </c>
      <c r="L62" s="87">
        <v>8</v>
      </c>
      <c r="M62" s="87"/>
      <c r="N62" s="88"/>
    </row>
    <row r="63" spans="1:14" ht="15.75" customHeight="1">
      <c r="A63" s="681" t="str">
        <f ca="1">IF(IBRF!H20="","",IBRF!H20)</f>
        <v>72</v>
      </c>
      <c r="B63" s="682" t="str">
        <f ca="1">IF(IBRF!I20="","",IBRF!I20)</f>
        <v>Demonica Mars</v>
      </c>
      <c r="C63" s="683"/>
      <c r="D63" s="684"/>
      <c r="E63" s="684"/>
      <c r="F63" s="684"/>
      <c r="G63" s="685"/>
      <c r="H63" s="681" t="str">
        <f t="shared" si="3"/>
        <v>72</v>
      </c>
      <c r="I63" s="682" t="str">
        <f t="shared" si="4"/>
        <v>Demonica Mars</v>
      </c>
      <c r="J63" s="683">
        <v>1</v>
      </c>
      <c r="K63" s="684">
        <v>1</v>
      </c>
      <c r="L63" s="684"/>
      <c r="M63" s="684"/>
      <c r="N63" s="685"/>
    </row>
    <row r="64" spans="1:14" ht="15.75" customHeight="1">
      <c r="A64" s="679" t="str">
        <f ca="1">IF(IBRF!H21="","",IBRF!H21)</f>
        <v>9.81</v>
      </c>
      <c r="B64" s="680" t="str">
        <f ca="1">IF(IBRF!I21="","",IBRF!I21)</f>
        <v>Uhura Belle Death</v>
      </c>
      <c r="C64" s="86"/>
      <c r="D64" s="87"/>
      <c r="E64" s="87"/>
      <c r="F64" s="87"/>
      <c r="G64" s="88"/>
      <c r="H64" s="679" t="str">
        <f t="shared" si="3"/>
        <v>9.81</v>
      </c>
      <c r="I64" s="680" t="str">
        <f t="shared" si="4"/>
        <v>Uhura Belle Death</v>
      </c>
      <c r="J64" s="86"/>
      <c r="K64" s="87"/>
      <c r="L64" s="87"/>
      <c r="M64" s="87"/>
      <c r="N64" s="88"/>
    </row>
    <row r="65" spans="1:14" ht="15.75" customHeight="1">
      <c r="A65" s="681" t="str">
        <f ca="1">IF(IBRF!H22="","",IBRF!H22)</f>
        <v>I-75</v>
      </c>
      <c r="B65" s="682" t="str">
        <f ca="1">IF(IBRF!I22="","",IBRF!I22)</f>
        <v>Diesel Doll</v>
      </c>
      <c r="C65" s="683">
        <v>5</v>
      </c>
      <c r="D65" s="684">
        <v>3</v>
      </c>
      <c r="E65" s="684">
        <v>5</v>
      </c>
      <c r="F65" s="684"/>
      <c r="G65" s="685">
        <v>1</v>
      </c>
      <c r="H65" s="681" t="str">
        <f t="shared" si="3"/>
        <v>I-75</v>
      </c>
      <c r="I65" s="682" t="str">
        <f t="shared" si="4"/>
        <v>Diesel Doll</v>
      </c>
      <c r="J65" s="683">
        <v>6</v>
      </c>
      <c r="K65" s="684">
        <v>4</v>
      </c>
      <c r="L65" s="684">
        <v>7</v>
      </c>
      <c r="M65" s="684">
        <v>1</v>
      </c>
      <c r="N65" s="685">
        <v>1</v>
      </c>
    </row>
    <row r="66" spans="1:14" ht="15.75" customHeight="1">
      <c r="A66" s="679" t="str">
        <f ca="1">IF(IBRF!H23="","",IBRF!H23)</f>
        <v>N2O</v>
      </c>
      <c r="B66" s="680" t="str">
        <f ca="1">IF(IBRF!I23="","",IBRF!I23)</f>
        <v>Cool Whip</v>
      </c>
      <c r="C66" s="86">
        <v>5</v>
      </c>
      <c r="D66" s="87">
        <v>1</v>
      </c>
      <c r="E66" s="87">
        <v>2</v>
      </c>
      <c r="F66" s="87"/>
      <c r="G66" s="88">
        <v>1</v>
      </c>
      <c r="H66" s="679" t="str">
        <f t="shared" si="3"/>
        <v>N2O</v>
      </c>
      <c r="I66" s="680" t="str">
        <f t="shared" si="4"/>
        <v>Cool Whip</v>
      </c>
      <c r="J66" s="86">
        <v>3</v>
      </c>
      <c r="K66" s="87">
        <v>4</v>
      </c>
      <c r="L66" s="87">
        <v>10</v>
      </c>
      <c r="M66" s="87">
        <v>4</v>
      </c>
      <c r="N66" s="88"/>
    </row>
    <row r="67" spans="1:14" ht="15.75" customHeight="1">
      <c r="A67" s="681" t="str">
        <f ca="1">IF(IBRF!H24="","",IBRF!H24)</f>
        <v>W00T</v>
      </c>
      <c r="B67" s="682" t="str">
        <f ca="1">IF(IBRF!I24="","",IBRF!I24)</f>
        <v>Genniferal</v>
      </c>
      <c r="C67" s="683">
        <v>3</v>
      </c>
      <c r="D67" s="684">
        <v>1</v>
      </c>
      <c r="E67" s="684"/>
      <c r="F67" s="684">
        <v>2</v>
      </c>
      <c r="G67" s="685">
        <v>1</v>
      </c>
      <c r="H67" s="681" t="str">
        <f t="shared" si="3"/>
        <v>W00T</v>
      </c>
      <c r="I67" s="682" t="str">
        <f t="shared" si="4"/>
        <v>Genniferal</v>
      </c>
      <c r="J67" s="683">
        <v>1</v>
      </c>
      <c r="K67" s="684"/>
      <c r="L67" s="684">
        <v>2</v>
      </c>
      <c r="M67" s="684">
        <v>2</v>
      </c>
      <c r="N67" s="685"/>
    </row>
    <row r="68" spans="1:14" ht="15.75" customHeight="1">
      <c r="A68" s="679" t="str">
        <f ca="1">IF(IBRF!H25="","",IBRF!H25)</f>
        <v>Z28</v>
      </c>
      <c r="B68" s="680" t="str">
        <f ca="1">IF(IBRF!I25="","",IBRF!I25)</f>
        <v>V8 Nightmare</v>
      </c>
      <c r="C68" s="86"/>
      <c r="D68" s="87"/>
      <c r="E68" s="87"/>
      <c r="F68" s="87"/>
      <c r="G68" s="88"/>
      <c r="H68" s="679" t="str">
        <f t="shared" si="3"/>
        <v>Z28</v>
      </c>
      <c r="I68" s="680" t="str">
        <f t="shared" si="4"/>
        <v>V8 Nightmare</v>
      </c>
      <c r="J68" s="86"/>
      <c r="K68" s="87"/>
      <c r="L68" s="87">
        <v>1</v>
      </c>
      <c r="M68" s="87"/>
      <c r="N68" s="88"/>
    </row>
    <row r="69" spans="1:14" ht="15.75" customHeight="1">
      <c r="A69" s="681" t="str">
        <f ca="1">IF(IBRF!H26="","",IBRF!H26)</f>
        <v/>
      </c>
      <c r="B69" s="682" t="str">
        <f ca="1">IF(IBRF!I26="","",IBRF!I26)</f>
        <v/>
      </c>
      <c r="C69" s="683"/>
      <c r="D69" s="684"/>
      <c r="E69" s="684"/>
      <c r="F69" s="684"/>
      <c r="G69" s="685"/>
      <c r="H69" s="681" t="str">
        <f t="shared" si="3"/>
        <v/>
      </c>
      <c r="I69" s="682" t="str">
        <f t="shared" si="4"/>
        <v/>
      </c>
      <c r="J69" s="683"/>
      <c r="K69" s="684"/>
      <c r="L69" s="684"/>
      <c r="M69" s="684"/>
      <c r="N69" s="685"/>
    </row>
    <row r="70" spans="1:14" ht="15.75" customHeight="1">
      <c r="A70" s="679" t="str">
        <f ca="1">IF(IBRF!H27="","",IBRF!H27)</f>
        <v/>
      </c>
      <c r="B70" s="680" t="str">
        <f ca="1">IF(IBRF!I27="","",IBRF!I27)</f>
        <v/>
      </c>
      <c r="C70" s="86"/>
      <c r="D70" s="87"/>
      <c r="E70" s="87"/>
      <c r="F70" s="87"/>
      <c r="G70" s="88"/>
      <c r="H70" s="679" t="str">
        <f t="shared" si="3"/>
        <v/>
      </c>
      <c r="I70" s="680" t="str">
        <f t="shared" si="4"/>
        <v/>
      </c>
      <c r="J70" s="86"/>
      <c r="K70" s="87"/>
      <c r="L70" s="87"/>
      <c r="M70" s="87"/>
      <c r="N70" s="88"/>
    </row>
    <row r="71" spans="1:14" ht="15.75" customHeight="1">
      <c r="A71" s="681" t="str">
        <f ca="1">IF(IBRF!H28="","",IBRF!H28)</f>
        <v/>
      </c>
      <c r="B71" s="682" t="str">
        <f ca="1">IF(IBRF!I28="","",IBRF!I28)</f>
        <v/>
      </c>
      <c r="C71" s="683"/>
      <c r="D71" s="684"/>
      <c r="E71" s="684"/>
      <c r="F71" s="684"/>
      <c r="G71" s="685"/>
      <c r="H71" s="681" t="str">
        <f t="shared" si="3"/>
        <v/>
      </c>
      <c r="I71" s="682" t="str">
        <f t="shared" si="4"/>
        <v/>
      </c>
      <c r="J71" s="683"/>
      <c r="K71" s="684"/>
      <c r="L71" s="684"/>
      <c r="M71" s="684"/>
      <c r="N71" s="685"/>
    </row>
    <row r="72" spans="1:14" ht="15.75" customHeight="1">
      <c r="A72" s="679" t="str">
        <f ca="1">IF(IBRF!H29="","",IBRF!H29)</f>
        <v/>
      </c>
      <c r="B72" s="680" t="str">
        <f ca="1">IF(IBRF!I29="","",IBRF!I29)</f>
        <v/>
      </c>
      <c r="C72" s="86"/>
      <c r="D72" s="87"/>
      <c r="E72" s="87"/>
      <c r="F72" s="87"/>
      <c r="G72" s="88"/>
      <c r="H72" s="679" t="str">
        <f t="shared" si="3"/>
        <v/>
      </c>
      <c r="I72" s="680" t="str">
        <f t="shared" si="4"/>
        <v/>
      </c>
      <c r="J72" s="86"/>
      <c r="K72" s="87"/>
      <c r="L72" s="87"/>
      <c r="M72" s="87"/>
      <c r="N72" s="88"/>
    </row>
    <row r="73" spans="1:14" ht="15.75" customHeight="1">
      <c r="A73" s="681" t="str">
        <f ca="1">IF(IBRF!H30="","",IBRF!H30)</f>
        <v/>
      </c>
      <c r="B73" s="682" t="str">
        <f ca="1">IF(IBRF!I30="","",IBRF!I30)</f>
        <v/>
      </c>
      <c r="C73" s="683"/>
      <c r="D73" s="684"/>
      <c r="E73" s="684"/>
      <c r="F73" s="684"/>
      <c r="G73" s="685"/>
      <c r="H73" s="681" t="str">
        <f t="shared" si="3"/>
        <v/>
      </c>
      <c r="I73" s="682" t="str">
        <f t="shared" si="4"/>
        <v/>
      </c>
      <c r="J73" s="683"/>
      <c r="K73" s="684"/>
      <c r="L73" s="684"/>
      <c r="M73" s="684"/>
      <c r="N73" s="685"/>
    </row>
    <row r="74" spans="1:14" s="25" customFormat="1" ht="24" customHeight="1">
      <c r="A74" s="1185" t="str">
        <f ca="1">C51</f>
        <v>Detroit Pistoffs</v>
      </c>
      <c r="B74" s="1190"/>
      <c r="C74" s="689" t="s">
        <v>84</v>
      </c>
      <c r="D74" s="689" t="s">
        <v>85</v>
      </c>
      <c r="E74" s="689" t="s">
        <v>137</v>
      </c>
      <c r="F74" s="689" t="s">
        <v>138</v>
      </c>
      <c r="G74" s="689" t="s">
        <v>86</v>
      </c>
      <c r="H74" s="1185" t="str">
        <f t="shared" si="3"/>
        <v>Detroit Pistoffs</v>
      </c>
      <c r="I74" s="1190"/>
      <c r="J74" s="689" t="s">
        <v>84</v>
      </c>
      <c r="K74" s="689" t="s">
        <v>85</v>
      </c>
      <c r="L74" s="689" t="s">
        <v>137</v>
      </c>
      <c r="M74" s="689" t="s">
        <v>138</v>
      </c>
      <c r="N74" s="689" t="s">
        <v>86</v>
      </c>
    </row>
    <row r="75" spans="1:14" ht="15.75" customHeight="1">
      <c r="A75" s="679" t="str">
        <f ca="1">IF(IBRF!B11="","",IBRF!B11)</f>
        <v>138</v>
      </c>
      <c r="B75" s="680" t="str">
        <f ca="1">IF(IBRF!C11="","",IBRF!C11)</f>
        <v>Mag Pie</v>
      </c>
      <c r="C75" s="86"/>
      <c r="D75" s="87"/>
      <c r="E75" s="87"/>
      <c r="F75" s="87"/>
      <c r="G75" s="88"/>
      <c r="H75" s="679" t="str">
        <f t="shared" si="3"/>
        <v>138</v>
      </c>
      <c r="I75" s="680" t="str">
        <f t="shared" ref="I75:I94" si="5">B75</f>
        <v>Mag Pie</v>
      </c>
      <c r="J75" s="86"/>
      <c r="K75" s="87"/>
      <c r="L75" s="87"/>
      <c r="M75" s="87"/>
      <c r="N75" s="88">
        <v>1</v>
      </c>
    </row>
    <row r="76" spans="1:14" ht="15.75" customHeight="1">
      <c r="A76" s="681" t="str">
        <f ca="1">IF(IBRF!B12="","",IBRF!B12)</f>
        <v>181</v>
      </c>
      <c r="B76" s="682" t="str">
        <f ca="1">IF(IBRF!C12="","",IBRF!C12)</f>
        <v>Vega Vendetta</v>
      </c>
      <c r="C76" s="683">
        <v>1</v>
      </c>
      <c r="D76" s="684"/>
      <c r="E76" s="684">
        <v>1</v>
      </c>
      <c r="F76" s="684"/>
      <c r="G76" s="685"/>
      <c r="H76" s="681" t="str">
        <f t="shared" si="3"/>
        <v>181</v>
      </c>
      <c r="I76" s="682" t="str">
        <f t="shared" si="5"/>
        <v>Vega Vendetta</v>
      </c>
      <c r="J76" s="683">
        <v>1</v>
      </c>
      <c r="K76" s="684"/>
      <c r="L76" s="684"/>
      <c r="M76" s="684"/>
      <c r="N76" s="685"/>
    </row>
    <row r="77" spans="1:14" ht="15.75" customHeight="1">
      <c r="A77" s="679" t="str">
        <f ca="1">IF(IBRF!B13="","",IBRF!B13)</f>
        <v>1821</v>
      </c>
      <c r="B77" s="680" t="str">
        <f ca="1">IF(IBRF!C13="","",IBRF!C13)</f>
        <v>Mexi-Go</v>
      </c>
      <c r="C77" s="86">
        <v>1</v>
      </c>
      <c r="D77" s="87"/>
      <c r="E77" s="87"/>
      <c r="F77" s="87"/>
      <c r="G77" s="88"/>
      <c r="H77" s="679" t="str">
        <f t="shared" si="3"/>
        <v>1821</v>
      </c>
      <c r="I77" s="680" t="str">
        <f t="shared" si="5"/>
        <v>Mexi-Go</v>
      </c>
      <c r="J77" s="86">
        <v>2</v>
      </c>
      <c r="K77" s="87"/>
      <c r="L77" s="87"/>
      <c r="M77" s="87"/>
      <c r="N77" s="88"/>
    </row>
    <row r="78" spans="1:14" ht="15.75" customHeight="1">
      <c r="A78" s="681" t="str">
        <f ca="1">IF(IBRF!B14="","",IBRF!B14)</f>
        <v>187</v>
      </c>
      <c r="B78" s="682" t="str">
        <f ca="1">IF(IBRF!C14="","",IBRF!C14)</f>
        <v>VeroniKILL</v>
      </c>
      <c r="C78" s="683"/>
      <c r="D78" s="684"/>
      <c r="E78" s="684"/>
      <c r="F78" s="684"/>
      <c r="G78" s="685"/>
      <c r="H78" s="681" t="str">
        <f t="shared" si="3"/>
        <v>187</v>
      </c>
      <c r="I78" s="682" t="str">
        <f t="shared" si="5"/>
        <v>VeroniKILL</v>
      </c>
      <c r="J78" s="683">
        <v>1</v>
      </c>
      <c r="K78" s="684"/>
      <c r="L78" s="684"/>
      <c r="M78" s="684"/>
      <c r="N78" s="685"/>
    </row>
    <row r="79" spans="1:14" ht="15.75" customHeight="1">
      <c r="A79" s="679" t="str">
        <f ca="1">IF(IBRF!B15="","",IBRF!B15)</f>
        <v>1879</v>
      </c>
      <c r="B79" s="680" t="str">
        <f ca="1">IF(IBRF!C15="","",IBRF!C15)</f>
        <v>Belle Isle Hurtya</v>
      </c>
      <c r="C79" s="86"/>
      <c r="D79" s="87"/>
      <c r="E79" s="87"/>
      <c r="F79" s="87"/>
      <c r="G79" s="88"/>
      <c r="H79" s="679" t="str">
        <f t="shared" si="3"/>
        <v>1879</v>
      </c>
      <c r="I79" s="680" t="str">
        <f t="shared" si="5"/>
        <v>Belle Isle Hurtya</v>
      </c>
      <c r="J79" s="86"/>
      <c r="K79" s="87"/>
      <c r="L79" s="87"/>
      <c r="M79" s="87"/>
      <c r="N79" s="88"/>
    </row>
    <row r="80" spans="1:14" ht="15.75" customHeight="1">
      <c r="A80" s="681" t="str">
        <f ca="1">IF(IBRF!B16="","",IBRF!B16)</f>
        <v>20</v>
      </c>
      <c r="B80" s="682" t="str">
        <f ca="1">IF(IBRF!C16="","",IBRF!C16)</f>
        <v>Devil Kitty</v>
      </c>
      <c r="C80" s="683"/>
      <c r="D80" s="684"/>
      <c r="E80" s="684"/>
      <c r="F80" s="684"/>
      <c r="G80" s="685"/>
      <c r="H80" s="681" t="str">
        <f t="shared" si="3"/>
        <v>20</v>
      </c>
      <c r="I80" s="682" t="str">
        <f t="shared" si="5"/>
        <v>Devil Kitty</v>
      </c>
      <c r="J80" s="683"/>
      <c r="K80" s="684"/>
      <c r="L80" s="684"/>
      <c r="M80" s="684"/>
      <c r="N80" s="685"/>
    </row>
    <row r="81" spans="1:14" ht="15.75" customHeight="1">
      <c r="A81" s="679" t="str">
        <f ca="1">IF(IBRF!B17="","",IBRF!B17)</f>
        <v>20KN</v>
      </c>
      <c r="B81" s="680" t="str">
        <f ca="1">IF(IBRF!C17="","",IBRF!C17)</f>
        <v>Kraken Whips</v>
      </c>
      <c r="C81" s="86"/>
      <c r="D81" s="87"/>
      <c r="E81" s="87"/>
      <c r="F81" s="87"/>
      <c r="G81" s="88"/>
      <c r="H81" s="679" t="str">
        <f t="shared" si="3"/>
        <v>20KN</v>
      </c>
      <c r="I81" s="680" t="str">
        <f t="shared" si="5"/>
        <v>Kraken Whips</v>
      </c>
      <c r="J81" s="86"/>
      <c r="K81" s="87"/>
      <c r="L81" s="87"/>
      <c r="M81" s="87">
        <v>1</v>
      </c>
      <c r="N81" s="88"/>
    </row>
    <row r="82" spans="1:14" ht="15.75" customHeight="1">
      <c r="A82" s="681" t="str">
        <f ca="1">IF(IBRF!B18="","",IBRF!B18)</f>
        <v>212</v>
      </c>
      <c r="B82" s="682" t="str">
        <f ca="1">IF(IBRF!C18="","",IBRF!C18)</f>
        <v>Wham!tramck</v>
      </c>
      <c r="C82" s="683"/>
      <c r="D82" s="684"/>
      <c r="E82" s="684">
        <v>1</v>
      </c>
      <c r="F82" s="684"/>
      <c r="G82" s="685"/>
      <c r="H82" s="681" t="str">
        <f t="shared" si="3"/>
        <v>212</v>
      </c>
      <c r="I82" s="682" t="str">
        <f t="shared" si="5"/>
        <v>Wham!tramck</v>
      </c>
      <c r="J82" s="683">
        <v>1</v>
      </c>
      <c r="K82" s="684"/>
      <c r="L82" s="684"/>
      <c r="M82" s="684"/>
      <c r="N82" s="685"/>
    </row>
    <row r="83" spans="1:14" ht="15.75" customHeight="1">
      <c r="A83" s="679" t="str">
        <f ca="1">IF(IBRF!B19="","",IBRF!B19)</f>
        <v>33 1/3</v>
      </c>
      <c r="B83" s="680" t="str">
        <f ca="1">IF(IBRF!C19="","",IBRF!C19)</f>
        <v>Cookie Rumble</v>
      </c>
      <c r="C83" s="86">
        <v>3</v>
      </c>
      <c r="D83" s="87"/>
      <c r="E83" s="87"/>
      <c r="F83" s="87">
        <v>1</v>
      </c>
      <c r="G83" s="88"/>
      <c r="H83" s="679" t="str">
        <f t="shared" si="3"/>
        <v>33 1/3</v>
      </c>
      <c r="I83" s="680" t="str">
        <f t="shared" si="5"/>
        <v>Cookie Rumble</v>
      </c>
      <c r="J83" s="86">
        <v>4</v>
      </c>
      <c r="K83" s="87"/>
      <c r="L83" s="87"/>
      <c r="M83" s="87"/>
      <c r="N83" s="88"/>
    </row>
    <row r="84" spans="1:14" ht="15.75" customHeight="1">
      <c r="A84" s="681" t="str">
        <f ca="1">IF(IBRF!B20="","",IBRF!B20)</f>
        <v>428</v>
      </c>
      <c r="B84" s="682" t="str">
        <f ca="1">IF(IBRF!C20="","",IBRF!C20)</f>
        <v>Freakin' Rican</v>
      </c>
      <c r="C84" s="683"/>
      <c r="D84" s="684"/>
      <c r="E84" s="684"/>
      <c r="F84" s="684"/>
      <c r="G84" s="685"/>
      <c r="H84" s="681" t="str">
        <f t="shared" si="3"/>
        <v>428</v>
      </c>
      <c r="I84" s="682" t="str">
        <f t="shared" si="5"/>
        <v>Freakin' Rican</v>
      </c>
      <c r="J84" s="683"/>
      <c r="K84" s="684"/>
      <c r="L84" s="684"/>
      <c r="M84" s="684"/>
      <c r="N84" s="685"/>
    </row>
    <row r="85" spans="1:14" ht="15.75" customHeight="1">
      <c r="A85" s="679" t="str">
        <f ca="1">IF(IBRF!B21="","",IBRF!B21)</f>
        <v>6</v>
      </c>
      <c r="B85" s="680" t="str">
        <f ca="1">IF(IBRF!C21="","",IBRF!C21)</f>
        <v>Elle McFearsome</v>
      </c>
      <c r="C85" s="86"/>
      <c r="D85" s="87"/>
      <c r="E85" s="87"/>
      <c r="F85" s="87"/>
      <c r="G85" s="88"/>
      <c r="H85" s="679" t="str">
        <f t="shared" si="3"/>
        <v>6</v>
      </c>
      <c r="I85" s="680" t="str">
        <f t="shared" si="5"/>
        <v>Elle McFearsome</v>
      </c>
      <c r="J85" s="86">
        <v>4</v>
      </c>
      <c r="K85" s="87">
        <v>1</v>
      </c>
      <c r="L85" s="87"/>
      <c r="M85" s="87"/>
      <c r="N85" s="88"/>
    </row>
    <row r="86" spans="1:14" ht="15.75" customHeight="1">
      <c r="A86" s="681" t="str">
        <f ca="1">IF(IBRF!B22="","",IBRF!B22)</f>
        <v>728</v>
      </c>
      <c r="B86" s="682" t="str">
        <f ca="1">IF(IBRF!C22="","",IBRF!C22)</f>
        <v>Combat Cat</v>
      </c>
      <c r="C86" s="683"/>
      <c r="D86" s="684"/>
      <c r="E86" s="684"/>
      <c r="F86" s="684"/>
      <c r="G86" s="685"/>
      <c r="H86" s="681" t="str">
        <f t="shared" si="3"/>
        <v>728</v>
      </c>
      <c r="I86" s="682" t="str">
        <f t="shared" si="5"/>
        <v>Combat Cat</v>
      </c>
      <c r="J86" s="683">
        <v>1</v>
      </c>
      <c r="K86" s="684"/>
      <c r="L86" s="684"/>
      <c r="M86" s="684"/>
      <c r="N86" s="685"/>
    </row>
    <row r="87" spans="1:14" ht="15.75" customHeight="1">
      <c r="A87" s="679" t="str">
        <f ca="1">IF(IBRF!B23="","",IBRF!B23)</f>
        <v>80</v>
      </c>
      <c r="B87" s="680" t="str">
        <f ca="1">IF(IBRF!C23="","",IBRF!C23)</f>
        <v>Mean Streak</v>
      </c>
      <c r="C87" s="86"/>
      <c r="D87" s="87"/>
      <c r="E87" s="87"/>
      <c r="F87" s="87"/>
      <c r="G87" s="88"/>
      <c r="H87" s="679" t="str">
        <f t="shared" si="3"/>
        <v>80</v>
      </c>
      <c r="I87" s="680" t="str">
        <f t="shared" si="5"/>
        <v>Mean Streak</v>
      </c>
      <c r="J87" s="86">
        <v>1</v>
      </c>
      <c r="K87" s="87"/>
      <c r="L87" s="87"/>
      <c r="M87" s="87"/>
      <c r="N87" s="88"/>
    </row>
    <row r="88" spans="1:14" ht="15.75" customHeight="1">
      <c r="A88" s="703" t="str">
        <f ca="1">IF(IBRF!B24="","",IBRF!B24)</f>
        <v>9.99</v>
      </c>
      <c r="B88" s="704" t="str">
        <f ca="1">IF(IBRF!C24="","",IBRF!C24)</f>
        <v>U.S.S. DentHerPrize</v>
      </c>
      <c r="C88" s="705"/>
      <c r="D88" s="706"/>
      <c r="E88" s="706"/>
      <c r="F88" s="706"/>
      <c r="G88" s="707"/>
      <c r="H88" s="703" t="str">
        <f t="shared" si="3"/>
        <v>9.99</v>
      </c>
      <c r="I88" s="704" t="str">
        <f t="shared" si="5"/>
        <v>U.S.S. DentHerPrize</v>
      </c>
      <c r="J88" s="683"/>
      <c r="K88" s="684"/>
      <c r="L88" s="684"/>
      <c r="M88" s="684"/>
      <c r="N88" s="685"/>
    </row>
    <row r="89" spans="1:14" ht="15.75" customHeight="1">
      <c r="A89" s="679" t="str">
        <f ca="1">IF(IBRF!B25="","",IBRF!B25)</f>
        <v>F14</v>
      </c>
      <c r="B89" s="680" t="str">
        <f ca="1">IF(IBRF!C25="","",IBRF!C25)</f>
        <v>Apertorture</v>
      </c>
      <c r="C89" s="86"/>
      <c r="D89" s="87"/>
      <c r="E89" s="87"/>
      <c r="F89" s="87"/>
      <c r="G89" s="88"/>
      <c r="H89" s="679" t="str">
        <f t="shared" si="3"/>
        <v>F14</v>
      </c>
      <c r="I89" s="680" t="str">
        <f t="shared" si="5"/>
        <v>Apertorture</v>
      </c>
      <c r="J89" s="86"/>
      <c r="K89" s="87"/>
      <c r="L89" s="87"/>
      <c r="M89" s="87"/>
      <c r="N89" s="88"/>
    </row>
    <row r="90" spans="1:14" ht="15.75" customHeight="1">
      <c r="A90" s="681" t="str">
        <f ca="1">IF(IBRF!B26="","",IBRF!B26)</f>
        <v/>
      </c>
      <c r="B90" s="682" t="str">
        <f ca="1">IF(IBRF!C26="","",IBRF!C26)</f>
        <v/>
      </c>
      <c r="C90" s="683"/>
      <c r="D90" s="684"/>
      <c r="E90" s="684"/>
      <c r="F90" s="684"/>
      <c r="G90" s="685"/>
      <c r="H90" s="681" t="str">
        <f t="shared" si="3"/>
        <v/>
      </c>
      <c r="I90" s="682" t="str">
        <f t="shared" si="5"/>
        <v/>
      </c>
      <c r="J90" s="683"/>
      <c r="K90" s="684"/>
      <c r="L90" s="684"/>
      <c r="M90" s="684"/>
      <c r="N90" s="685"/>
    </row>
    <row r="91" spans="1:14" ht="15.75" customHeight="1">
      <c r="A91" s="679" t="str">
        <f ca="1">IF(IBRF!B27="","",IBRF!B27)</f>
        <v/>
      </c>
      <c r="B91" s="680" t="str">
        <f ca="1">IF(IBRF!C27="","",IBRF!C27)</f>
        <v/>
      </c>
      <c r="C91" s="86"/>
      <c r="D91" s="87"/>
      <c r="E91" s="87"/>
      <c r="F91" s="87"/>
      <c r="G91" s="88"/>
      <c r="H91" s="679" t="str">
        <f t="shared" si="3"/>
        <v/>
      </c>
      <c r="I91" s="680" t="str">
        <f t="shared" si="5"/>
        <v/>
      </c>
      <c r="J91" s="86"/>
      <c r="K91" s="87"/>
      <c r="L91" s="87"/>
      <c r="M91" s="87"/>
      <c r="N91" s="88"/>
    </row>
    <row r="92" spans="1:14" ht="15.75" customHeight="1">
      <c r="A92" s="681" t="str">
        <f ca="1">IF(IBRF!B28="","",IBRF!B28)</f>
        <v/>
      </c>
      <c r="B92" s="682" t="str">
        <f ca="1">IF(IBRF!C28="","",IBRF!C28)</f>
        <v/>
      </c>
      <c r="C92" s="683"/>
      <c r="D92" s="684"/>
      <c r="E92" s="684"/>
      <c r="F92" s="684"/>
      <c r="G92" s="685"/>
      <c r="H92" s="681" t="str">
        <f t="shared" si="3"/>
        <v/>
      </c>
      <c r="I92" s="682" t="str">
        <f t="shared" si="5"/>
        <v/>
      </c>
      <c r="J92" s="683"/>
      <c r="K92" s="684"/>
      <c r="L92" s="684"/>
      <c r="M92" s="684"/>
      <c r="N92" s="685"/>
    </row>
    <row r="93" spans="1:14" ht="15.75" customHeight="1">
      <c r="A93" s="679" t="str">
        <f ca="1">IF(IBRF!B29="","",IBRF!B29)</f>
        <v/>
      </c>
      <c r="B93" s="680" t="str">
        <f ca="1">IF(IBRF!C29="","",IBRF!C29)</f>
        <v/>
      </c>
      <c r="C93" s="86"/>
      <c r="D93" s="87"/>
      <c r="E93" s="87"/>
      <c r="F93" s="87"/>
      <c r="G93" s="88"/>
      <c r="H93" s="679" t="str">
        <f t="shared" si="3"/>
        <v/>
      </c>
      <c r="I93" s="680" t="str">
        <f t="shared" si="5"/>
        <v/>
      </c>
      <c r="J93" s="86"/>
      <c r="K93" s="87"/>
      <c r="L93" s="87"/>
      <c r="M93" s="87"/>
      <c r="N93" s="88"/>
    </row>
    <row r="94" spans="1:14" ht="15.75" customHeight="1" thickBot="1">
      <c r="A94" s="681" t="str">
        <f ca="1">IF(IBRF!B30="","",IBRF!B30)</f>
        <v/>
      </c>
      <c r="B94" s="682" t="str">
        <f ca="1">IF(IBRF!C30="","",IBRF!C30)</f>
        <v/>
      </c>
      <c r="C94" s="683"/>
      <c r="D94" s="684"/>
      <c r="E94" s="684"/>
      <c r="F94" s="684"/>
      <c r="G94" s="685"/>
      <c r="H94" s="681" t="str">
        <f t="shared" si="3"/>
        <v/>
      </c>
      <c r="I94" s="682" t="str">
        <f t="shared" si="5"/>
        <v/>
      </c>
      <c r="J94" s="683"/>
      <c r="K94" s="684"/>
      <c r="L94" s="684"/>
      <c r="M94" s="684"/>
      <c r="N94" s="685"/>
    </row>
    <row r="95" spans="1:14" ht="13.5" customHeight="1">
      <c r="A95" s="1184" t="s">
        <v>713</v>
      </c>
      <c r="B95" s="1184"/>
      <c r="C95" s="1184"/>
      <c r="D95" s="1184"/>
      <c r="E95" s="1184"/>
      <c r="F95" s="1184"/>
      <c r="G95" s="1184"/>
      <c r="H95" s="1184" t="s">
        <v>713</v>
      </c>
      <c r="I95" s="1184"/>
      <c r="J95" s="1184"/>
      <c r="K95" s="1184"/>
      <c r="L95" s="1184"/>
      <c r="M95" s="1184"/>
      <c r="N95" s="1184"/>
    </row>
    <row r="96" spans="1:14" ht="13.5" customHeight="1">
      <c r="A96" s="1182" t="s">
        <v>714</v>
      </c>
      <c r="B96" s="1182"/>
      <c r="C96" s="1182"/>
      <c r="D96" s="1182"/>
      <c r="E96" s="1182"/>
      <c r="F96" s="1182"/>
      <c r="G96" s="1182"/>
      <c r="H96" s="1182" t="s">
        <v>714</v>
      </c>
      <c r="I96" s="1182"/>
      <c r="J96" s="1182"/>
      <c r="K96" s="1182"/>
      <c r="L96" s="1182"/>
      <c r="M96" s="1182"/>
      <c r="N96" s="1182"/>
    </row>
    <row r="97" spans="1:14" ht="13.5" customHeight="1">
      <c r="A97" s="1182" t="s">
        <v>715</v>
      </c>
      <c r="B97" s="1182"/>
      <c r="C97" s="1182"/>
      <c r="D97" s="1182"/>
      <c r="E97" s="1182"/>
      <c r="F97" s="1182"/>
      <c r="G97" s="1182"/>
      <c r="H97" s="1182" t="s">
        <v>715</v>
      </c>
      <c r="I97" s="1182"/>
      <c r="J97" s="1182"/>
      <c r="K97" s="1182"/>
      <c r="L97" s="1182"/>
      <c r="M97" s="1182"/>
      <c r="N97" s="1182"/>
    </row>
    <row r="98" spans="1:14" ht="13.5" customHeight="1" thickBot="1">
      <c r="A98" s="1183" t="s">
        <v>716</v>
      </c>
      <c r="B98" s="1183"/>
      <c r="C98" s="1183"/>
      <c r="D98" s="1183"/>
      <c r="E98" s="1183"/>
      <c r="F98" s="1183"/>
      <c r="G98" s="1183"/>
      <c r="H98" s="1183" t="s">
        <v>716</v>
      </c>
      <c r="I98" s="1183"/>
      <c r="J98" s="1183"/>
      <c r="K98" s="1183"/>
      <c r="L98" s="1183"/>
      <c r="M98" s="1183"/>
      <c r="N98" s="1183"/>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6"/>
      <c r="B1" s="1176"/>
      <c r="C1" s="1179" t="s">
        <v>470</v>
      </c>
      <c r="D1" s="1179"/>
      <c r="E1" s="1179"/>
      <c r="F1" s="1180">
        <f ca="1">IF(ISBLANK(IBRF!$B$5), "", IBRF!$B$5)</f>
        <v>41377</v>
      </c>
      <c r="G1" s="1175">
        <v>1</v>
      </c>
      <c r="H1" s="1176"/>
      <c r="I1" s="1176"/>
      <c r="J1" s="1179" t="s">
        <v>470</v>
      </c>
      <c r="K1" s="1179"/>
      <c r="L1" s="1179"/>
      <c r="M1" s="1180">
        <f ca="1">IF(ISBLANK(IBRF!$B$5), "", IBRF!$B$5)</f>
        <v>41377</v>
      </c>
      <c r="N1" s="1175">
        <v>2</v>
      </c>
    </row>
    <row r="2" spans="1:14" ht="15" customHeight="1">
      <c r="A2" s="1177"/>
      <c r="B2" s="1177"/>
      <c r="C2" s="1194" t="str">
        <f ca="1">Score!$T$1</f>
        <v>Pistolwhippers</v>
      </c>
      <c r="D2" s="1194"/>
      <c r="E2" s="1194"/>
      <c r="F2" s="1181"/>
      <c r="G2" s="1175"/>
      <c r="H2" s="1177"/>
      <c r="I2" s="1177"/>
      <c r="J2" s="1194" t="str">
        <f>C2</f>
        <v>Pistolwhippers</v>
      </c>
      <c r="K2" s="1194"/>
      <c r="L2" s="1194"/>
      <c r="M2" s="1181"/>
      <c r="N2" s="1175"/>
    </row>
    <row r="3" spans="1:14" ht="15" customHeight="1">
      <c r="A3" s="1178" t="s">
        <v>471</v>
      </c>
      <c r="B3" s="1178"/>
      <c r="C3" s="1194"/>
      <c r="D3" s="1194"/>
      <c r="E3" s="1194"/>
      <c r="F3" s="82" t="s">
        <v>577</v>
      </c>
      <c r="G3" s="83" t="str">
        <f ca="1">IF(ISBLANK(Score!$R$2), "", Score!$R$2)</f>
        <v>BOUT 199</v>
      </c>
      <c r="H3" s="1178" t="s">
        <v>471</v>
      </c>
      <c r="I3" s="1178"/>
      <c r="J3" s="1194"/>
      <c r="K3" s="1194"/>
      <c r="L3" s="1194"/>
      <c r="M3" s="82" t="s">
        <v>577</v>
      </c>
      <c r="N3" s="83" t="str">
        <f ca="1">IF(ISBLANK(Score!$R$2), "", Score!$R$2)</f>
        <v>BOUT 199</v>
      </c>
    </row>
    <row r="4" spans="1:14" s="25" customFormat="1" ht="20" customHeight="1">
      <c r="A4" s="1191" t="str">
        <f ca="1">IF(IBRF!B9="","Home Team",IBRF!B9)</f>
        <v>Detroit Pistoffs</v>
      </c>
      <c r="B4" s="1192"/>
      <c r="C4" s="314" t="s">
        <v>162</v>
      </c>
      <c r="D4" s="315" t="s">
        <v>163</v>
      </c>
      <c r="E4" s="315" t="s">
        <v>87</v>
      </c>
      <c r="F4" s="315" t="s">
        <v>88</v>
      </c>
      <c r="G4" s="316" t="s">
        <v>89</v>
      </c>
      <c r="H4" s="1191" t="str">
        <f t="shared" ref="H4:H45" si="0">A4</f>
        <v>Detroit Pistoffs</v>
      </c>
      <c r="I4" s="1192"/>
      <c r="J4" s="314" t="s">
        <v>162</v>
      </c>
      <c r="K4" s="315" t="s">
        <v>163</v>
      </c>
      <c r="L4" s="315" t="s">
        <v>87</v>
      </c>
      <c r="M4" s="315" t="s">
        <v>88</v>
      </c>
      <c r="N4" s="316" t="s">
        <v>89</v>
      </c>
    </row>
    <row r="5" spans="1:14" ht="15.75" customHeight="1">
      <c r="A5" s="84" t="str">
        <f ca="1">IF(IBRF!B11="","",IBRF!B11)</f>
        <v>138</v>
      </c>
      <c r="B5" s="85" t="str">
        <f ca="1">IF(IBRF!C11="","",IBRF!C11)</f>
        <v>Mag Pie</v>
      </c>
      <c r="C5" s="86"/>
      <c r="D5" s="87"/>
      <c r="E5" s="87"/>
      <c r="F5" s="87"/>
      <c r="G5" s="88"/>
      <c r="H5" s="84" t="str">
        <f t="shared" si="0"/>
        <v>138</v>
      </c>
      <c r="I5" s="85" t="str">
        <f t="shared" ref="I5:I45" si="1">B5</f>
        <v>Mag Pie</v>
      </c>
      <c r="J5" s="86"/>
      <c r="K5" s="87"/>
      <c r="L5" s="87"/>
      <c r="M5" s="87"/>
      <c r="N5" s="88"/>
    </row>
    <row r="6" spans="1:14" ht="15.75" customHeight="1">
      <c r="A6" s="89" t="str">
        <f ca="1">IF(IBRF!B12="","",IBRF!B12)</f>
        <v>181</v>
      </c>
      <c r="B6" s="90" t="str">
        <f ca="1">IF(IBRF!C12="","",IBRF!C12)</f>
        <v>Vega Vendetta</v>
      </c>
      <c r="C6" s="91"/>
      <c r="D6" s="92"/>
      <c r="E6" s="92"/>
      <c r="F6" s="92"/>
      <c r="G6" s="93"/>
      <c r="H6" s="89" t="str">
        <f t="shared" si="0"/>
        <v>181</v>
      </c>
      <c r="I6" s="90" t="str">
        <f t="shared" si="1"/>
        <v>Vega Vendetta</v>
      </c>
      <c r="J6" s="91"/>
      <c r="K6" s="92"/>
      <c r="L6" s="92"/>
      <c r="M6" s="92"/>
      <c r="N6" s="93"/>
    </row>
    <row r="7" spans="1:14" ht="15.75" customHeight="1">
      <c r="A7" s="84" t="str">
        <f ca="1">IF(IBRF!B13="","",IBRF!B13)</f>
        <v>1821</v>
      </c>
      <c r="B7" s="85" t="str">
        <f ca="1">IF(IBRF!C13="","",IBRF!C13)</f>
        <v>Mexi-Go</v>
      </c>
      <c r="C7" s="86"/>
      <c r="D7" s="87"/>
      <c r="E7" s="87"/>
      <c r="F7" s="87"/>
      <c r="G7" s="88"/>
      <c r="H7" s="84" t="str">
        <f t="shared" si="0"/>
        <v>1821</v>
      </c>
      <c r="I7" s="85" t="str">
        <f t="shared" si="1"/>
        <v>Mexi-Go</v>
      </c>
      <c r="J7" s="86"/>
      <c r="K7" s="87"/>
      <c r="L7" s="87"/>
      <c r="M7" s="87"/>
      <c r="N7" s="88"/>
    </row>
    <row r="8" spans="1:14" ht="15.75" customHeight="1">
      <c r="A8" s="89" t="str">
        <f ca="1">IF(IBRF!B14="","",IBRF!B14)</f>
        <v>187</v>
      </c>
      <c r="B8" s="90" t="str">
        <f ca="1">IF(IBRF!C14="","",IBRF!C14)</f>
        <v>VeroniKILL</v>
      </c>
      <c r="C8" s="91"/>
      <c r="D8" s="92"/>
      <c r="E8" s="92"/>
      <c r="F8" s="92"/>
      <c r="G8" s="93"/>
      <c r="H8" s="89" t="str">
        <f t="shared" si="0"/>
        <v>187</v>
      </c>
      <c r="I8" s="90" t="str">
        <f t="shared" si="1"/>
        <v>VeroniKILL</v>
      </c>
      <c r="J8" s="91"/>
      <c r="K8" s="92"/>
      <c r="L8" s="92"/>
      <c r="M8" s="92"/>
      <c r="N8" s="93"/>
    </row>
    <row r="9" spans="1:14" ht="15.75" customHeight="1">
      <c r="A9" s="84" t="str">
        <f ca="1">IF(IBRF!B15="","",IBRF!B15)</f>
        <v>1879</v>
      </c>
      <c r="B9" s="85" t="str">
        <f ca="1">IF(IBRF!C15="","",IBRF!C15)</f>
        <v>Belle Isle Hurtya</v>
      </c>
      <c r="C9" s="86"/>
      <c r="D9" s="87"/>
      <c r="E9" s="87"/>
      <c r="F9" s="87"/>
      <c r="G9" s="88"/>
      <c r="H9" s="84" t="str">
        <f t="shared" si="0"/>
        <v>1879</v>
      </c>
      <c r="I9" s="85" t="str">
        <f t="shared" si="1"/>
        <v>Belle Isle Hurtya</v>
      </c>
      <c r="J9" s="86"/>
      <c r="K9" s="87"/>
      <c r="L9" s="87"/>
      <c r="M9" s="87"/>
      <c r="N9" s="88"/>
    </row>
    <row r="10" spans="1:14" ht="15.75" customHeight="1">
      <c r="A10" s="89" t="str">
        <f ca="1">IF(IBRF!B16="","",IBRF!B16)</f>
        <v>20</v>
      </c>
      <c r="B10" s="90" t="str">
        <f ca="1">IF(IBRF!C16="","",IBRF!C16)</f>
        <v>Devil Kitty</v>
      </c>
      <c r="C10" s="91"/>
      <c r="D10" s="92"/>
      <c r="E10" s="92"/>
      <c r="F10" s="92"/>
      <c r="G10" s="93"/>
      <c r="H10" s="89" t="str">
        <f t="shared" si="0"/>
        <v>20</v>
      </c>
      <c r="I10" s="90" t="str">
        <f t="shared" si="1"/>
        <v>Devil Kitty</v>
      </c>
      <c r="J10" s="91"/>
      <c r="K10" s="92"/>
      <c r="L10" s="92"/>
      <c r="M10" s="92"/>
      <c r="N10" s="93"/>
    </row>
    <row r="11" spans="1:14" ht="15.75" customHeight="1">
      <c r="A11" s="84" t="str">
        <f ca="1">IF(IBRF!B17="","",IBRF!B17)</f>
        <v>20KN</v>
      </c>
      <c r="B11" s="85" t="str">
        <f ca="1">IF(IBRF!C17="","",IBRF!C17)</f>
        <v>Kraken Whips</v>
      </c>
      <c r="C11" s="86"/>
      <c r="D11" s="87"/>
      <c r="E11" s="87"/>
      <c r="F11" s="87"/>
      <c r="G11" s="88"/>
      <c r="H11" s="84" t="str">
        <f t="shared" si="0"/>
        <v>20KN</v>
      </c>
      <c r="I11" s="85" t="str">
        <f t="shared" si="1"/>
        <v>Kraken Whips</v>
      </c>
      <c r="J11" s="86"/>
      <c r="K11" s="87"/>
      <c r="L11" s="87"/>
      <c r="M11" s="87"/>
      <c r="N11" s="88"/>
    </row>
    <row r="12" spans="1:14" ht="15.75" customHeight="1">
      <c r="A12" s="89" t="str">
        <f ca="1">IF(IBRF!B18="","",IBRF!B18)</f>
        <v>212</v>
      </c>
      <c r="B12" s="90" t="str">
        <f ca="1">IF(IBRF!C18="","",IBRF!C18)</f>
        <v>Wham!tramck</v>
      </c>
      <c r="C12" s="91"/>
      <c r="D12" s="92"/>
      <c r="E12" s="92"/>
      <c r="F12" s="92"/>
      <c r="G12" s="93"/>
      <c r="H12" s="89" t="str">
        <f t="shared" si="0"/>
        <v>212</v>
      </c>
      <c r="I12" s="90" t="str">
        <f t="shared" si="1"/>
        <v>Wham!tramck</v>
      </c>
      <c r="J12" s="91"/>
      <c r="K12" s="92"/>
      <c r="L12" s="92"/>
      <c r="M12" s="92"/>
      <c r="N12" s="93"/>
    </row>
    <row r="13" spans="1:14" ht="15.75" customHeight="1">
      <c r="A13" s="84" t="str">
        <f ca="1">IF(IBRF!B19="","",IBRF!B19)</f>
        <v>33 1/3</v>
      </c>
      <c r="B13" s="85" t="str">
        <f ca="1">IF(IBRF!C19="","",IBRF!C19)</f>
        <v>Cookie Rumble</v>
      </c>
      <c r="C13" s="86"/>
      <c r="D13" s="87"/>
      <c r="E13" s="87"/>
      <c r="F13" s="87"/>
      <c r="G13" s="88"/>
      <c r="H13" s="84" t="str">
        <f t="shared" si="0"/>
        <v>33 1/3</v>
      </c>
      <c r="I13" s="85" t="str">
        <f t="shared" si="1"/>
        <v>Cookie Rumble</v>
      </c>
      <c r="J13" s="86"/>
      <c r="K13" s="87"/>
      <c r="L13" s="87"/>
      <c r="M13" s="87"/>
      <c r="N13" s="88"/>
    </row>
    <row r="14" spans="1:14" ht="15.75" customHeight="1">
      <c r="A14" s="89" t="str">
        <f ca="1">IF(IBRF!B20="","",IBRF!B20)</f>
        <v>428</v>
      </c>
      <c r="B14" s="90" t="str">
        <f ca="1">IF(IBRF!C20="","",IBRF!C20)</f>
        <v>Freakin' Rican</v>
      </c>
      <c r="C14" s="91"/>
      <c r="D14" s="92"/>
      <c r="E14" s="92"/>
      <c r="F14" s="92"/>
      <c r="G14" s="93"/>
      <c r="H14" s="89" t="str">
        <f t="shared" si="0"/>
        <v>428</v>
      </c>
      <c r="I14" s="90" t="str">
        <f t="shared" si="1"/>
        <v>Freakin' Rican</v>
      </c>
      <c r="J14" s="91"/>
      <c r="K14" s="92"/>
      <c r="L14" s="92"/>
      <c r="M14" s="92"/>
      <c r="N14" s="93"/>
    </row>
    <row r="15" spans="1:14" ht="15.75" customHeight="1">
      <c r="A15" s="84" t="str">
        <f ca="1">IF(IBRF!B21="","",IBRF!B21)</f>
        <v>6</v>
      </c>
      <c r="B15" s="85" t="str">
        <f ca="1">IF(IBRF!C21="","",IBRF!C21)</f>
        <v>Elle McFearsome</v>
      </c>
      <c r="C15" s="86"/>
      <c r="D15" s="87"/>
      <c r="E15" s="87"/>
      <c r="F15" s="87"/>
      <c r="G15" s="88"/>
      <c r="H15" s="84" t="str">
        <f t="shared" si="0"/>
        <v>6</v>
      </c>
      <c r="I15" s="85" t="str">
        <f t="shared" si="1"/>
        <v>Elle McFearsome</v>
      </c>
      <c r="J15" s="86"/>
      <c r="K15" s="87"/>
      <c r="L15" s="87"/>
      <c r="M15" s="87"/>
      <c r="N15" s="88"/>
    </row>
    <row r="16" spans="1:14" ht="15.75" customHeight="1">
      <c r="A16" s="89" t="str">
        <f ca="1">IF(IBRF!B22="","",IBRF!B22)</f>
        <v>728</v>
      </c>
      <c r="B16" s="90" t="str">
        <f ca="1">IF(IBRF!C22="","",IBRF!C22)</f>
        <v>Combat Cat</v>
      </c>
      <c r="C16" s="91"/>
      <c r="D16" s="92"/>
      <c r="E16" s="92"/>
      <c r="F16" s="92"/>
      <c r="G16" s="93"/>
      <c r="H16" s="89" t="str">
        <f t="shared" si="0"/>
        <v>728</v>
      </c>
      <c r="I16" s="90" t="str">
        <f t="shared" si="1"/>
        <v>Combat Cat</v>
      </c>
      <c r="J16" s="91"/>
      <c r="K16" s="92"/>
      <c r="L16" s="92"/>
      <c r="M16" s="92"/>
      <c r="N16" s="93"/>
    </row>
    <row r="17" spans="1:14" ht="15.75" customHeight="1">
      <c r="A17" s="84" t="str">
        <f ca="1">IF(IBRF!B23="","",IBRF!B23)</f>
        <v>80</v>
      </c>
      <c r="B17" s="85" t="str">
        <f ca="1">IF(IBRF!C23="","",IBRF!C23)</f>
        <v>Mean Streak</v>
      </c>
      <c r="C17" s="86"/>
      <c r="D17" s="87"/>
      <c r="E17" s="87"/>
      <c r="F17" s="87"/>
      <c r="G17" s="88"/>
      <c r="H17" s="84" t="str">
        <f t="shared" si="0"/>
        <v>80</v>
      </c>
      <c r="I17" s="85" t="str">
        <f t="shared" si="1"/>
        <v>Mean Streak</v>
      </c>
      <c r="J17" s="86"/>
      <c r="K17" s="87"/>
      <c r="L17" s="87"/>
      <c r="M17" s="87"/>
      <c r="N17" s="88"/>
    </row>
    <row r="18" spans="1:14" ht="15.75" customHeight="1">
      <c r="A18" s="89" t="str">
        <f ca="1">IF(IBRF!B24="","",IBRF!B24)</f>
        <v>9.99</v>
      </c>
      <c r="B18" s="90" t="str">
        <f ca="1">IF(IBRF!C24="","",IBRF!C24)</f>
        <v>U.S.S. DentHerPrize</v>
      </c>
      <c r="C18" s="91"/>
      <c r="D18" s="92"/>
      <c r="E18" s="92"/>
      <c r="F18" s="92"/>
      <c r="G18" s="93"/>
      <c r="H18" s="89" t="str">
        <f t="shared" si="0"/>
        <v>9.99</v>
      </c>
      <c r="I18" s="90" t="str">
        <f t="shared" si="1"/>
        <v>U.S.S. DentHerPrize</v>
      </c>
      <c r="J18" s="91"/>
      <c r="K18" s="92"/>
      <c r="L18" s="92"/>
      <c r="M18" s="92"/>
      <c r="N18" s="93"/>
    </row>
    <row r="19" spans="1:14" ht="15.75" customHeight="1">
      <c r="A19" s="84" t="str">
        <f ca="1">IF(IBRF!B25="","",IBRF!B25)</f>
        <v>F14</v>
      </c>
      <c r="B19" s="85" t="str">
        <f ca="1">IF(IBRF!C25="","",IBRF!C25)</f>
        <v>Apertorture</v>
      </c>
      <c r="C19" s="86"/>
      <c r="D19" s="87"/>
      <c r="E19" s="87"/>
      <c r="F19" s="87"/>
      <c r="G19" s="88"/>
      <c r="H19" s="84" t="str">
        <f t="shared" si="0"/>
        <v>F14</v>
      </c>
      <c r="I19" s="85" t="str">
        <f t="shared" si="1"/>
        <v>Apertorture</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91" t="str">
        <f ca="1">C2</f>
        <v>Pistolwhippers</v>
      </c>
      <c r="B25" s="1193" t="str">
        <f ca="1">IF(IBRF!H9="","Away Team",IBRF!H9)</f>
        <v>Pistolwhippers</v>
      </c>
      <c r="C25" s="315" t="s">
        <v>90</v>
      </c>
      <c r="D25" s="315" t="s">
        <v>171</v>
      </c>
      <c r="E25" s="315" t="s">
        <v>172</v>
      </c>
      <c r="F25" s="315" t="s">
        <v>173</v>
      </c>
      <c r="G25" s="315" t="s">
        <v>174</v>
      </c>
      <c r="H25" s="1191" t="str">
        <f t="shared" si="0"/>
        <v>Pistolwhippers</v>
      </c>
      <c r="I25" s="1193" t="str">
        <f t="shared" si="1"/>
        <v>Pistolwhippers</v>
      </c>
      <c r="J25" s="315" t="s">
        <v>90</v>
      </c>
      <c r="K25" s="315" t="s">
        <v>171</v>
      </c>
      <c r="L25" s="315" t="s">
        <v>172</v>
      </c>
      <c r="M25" s="315" t="s">
        <v>173</v>
      </c>
      <c r="N25" s="315" t="s">
        <v>174</v>
      </c>
    </row>
    <row r="26" spans="1:14" ht="15.75" customHeight="1">
      <c r="A26" s="84" t="str">
        <f ca="1">IF(IBRF!H11="","",IBRF!H11)</f>
        <v>182</v>
      </c>
      <c r="B26" s="85" t="str">
        <f ca="1">IF(IBRF!I11="","",IBRF!I11)</f>
        <v>Travis Blocker</v>
      </c>
      <c r="C26" s="86"/>
      <c r="D26" s="87"/>
      <c r="E26" s="87"/>
      <c r="F26" s="87"/>
      <c r="G26" s="88"/>
      <c r="H26" s="84" t="str">
        <f t="shared" si="0"/>
        <v>182</v>
      </c>
      <c r="I26" s="85" t="str">
        <f t="shared" si="1"/>
        <v>Travis Blocker</v>
      </c>
      <c r="J26" s="86"/>
      <c r="K26" s="87"/>
      <c r="L26" s="87"/>
      <c r="M26" s="87"/>
      <c r="N26" s="88"/>
    </row>
    <row r="27" spans="1:14" ht="15.75" customHeight="1">
      <c r="A27" s="89" t="str">
        <f ca="1">IF(IBRF!H12="","",IBRF!H12)</f>
        <v>2¢</v>
      </c>
      <c r="B27" s="90" t="str">
        <f ca="1">IF(IBRF!I12="","",IBRF!I12)</f>
        <v>Vera Toss</v>
      </c>
      <c r="C27" s="91"/>
      <c r="D27" s="92"/>
      <c r="E27" s="92"/>
      <c r="F27" s="92"/>
      <c r="G27" s="93"/>
      <c r="H27" s="89" t="str">
        <f t="shared" si="0"/>
        <v>2¢</v>
      </c>
      <c r="I27" s="90" t="str">
        <f t="shared" si="1"/>
        <v>Vera Toss</v>
      </c>
      <c r="J27" s="91"/>
      <c r="K27" s="92"/>
      <c r="L27" s="92"/>
      <c r="M27" s="92"/>
      <c r="N27" s="93"/>
    </row>
    <row r="28" spans="1:14" ht="15.75" customHeight="1">
      <c r="A28" s="84" t="str">
        <f ca="1">IF(IBRF!H13="","",IBRF!H13)</f>
        <v>24/7</v>
      </c>
      <c r="B28" s="85" t="str">
        <f ca="1">IF(IBRF!I13="","",IBRF!I13)</f>
        <v>boo d. livers</v>
      </c>
      <c r="C28" s="86"/>
      <c r="D28" s="87"/>
      <c r="E28" s="87"/>
      <c r="F28" s="87"/>
      <c r="G28" s="88"/>
      <c r="H28" s="84" t="str">
        <f t="shared" si="0"/>
        <v>24/7</v>
      </c>
      <c r="I28" s="85" t="str">
        <f t="shared" si="1"/>
        <v>boo d. livers</v>
      </c>
      <c r="J28" s="86"/>
      <c r="K28" s="87"/>
      <c r="L28" s="87"/>
      <c r="M28" s="87"/>
      <c r="N28" s="88"/>
    </row>
    <row r="29" spans="1:14" ht="15.75" customHeight="1">
      <c r="A29" s="89" t="str">
        <f ca="1">IF(IBRF!H14="","",IBRF!H14)</f>
        <v>27</v>
      </c>
      <c r="B29" s="90" t="str">
        <f ca="1">IF(IBRF!I14="","",IBRF!I14)</f>
        <v>A.O. Lesgo</v>
      </c>
      <c r="C29" s="91"/>
      <c r="D29" s="92"/>
      <c r="E29" s="92"/>
      <c r="F29" s="92"/>
      <c r="G29" s="93"/>
      <c r="H29" s="89" t="str">
        <f t="shared" si="0"/>
        <v>27</v>
      </c>
      <c r="I29" s="90" t="str">
        <f t="shared" si="1"/>
        <v>A.O. Lesgo</v>
      </c>
      <c r="J29" s="91"/>
      <c r="K29" s="92"/>
      <c r="L29" s="92"/>
      <c r="M29" s="92"/>
      <c r="N29" s="93"/>
    </row>
    <row r="30" spans="1:14" ht="15.75" customHeight="1">
      <c r="A30" s="84" t="str">
        <f ca="1">IF(IBRF!H15="","",IBRF!H15)</f>
        <v>38DD</v>
      </c>
      <c r="B30" s="85" t="str">
        <f ca="1">IF(IBRF!I15="","",IBRF!I15)</f>
        <v>Tig O' Hitties</v>
      </c>
      <c r="C30" s="86"/>
      <c r="D30" s="87"/>
      <c r="E30" s="87"/>
      <c r="F30" s="87"/>
      <c r="G30" s="88"/>
      <c r="H30" s="84" t="str">
        <f t="shared" si="0"/>
        <v>38DD</v>
      </c>
      <c r="I30" s="85" t="str">
        <f t="shared" si="1"/>
        <v>Tig O' Hitties</v>
      </c>
      <c r="J30" s="86"/>
      <c r="K30" s="87"/>
      <c r="L30" s="87"/>
      <c r="M30" s="87"/>
      <c r="N30" s="88"/>
    </row>
    <row r="31" spans="1:14" ht="15.75" customHeight="1">
      <c r="A31" s="89" t="str">
        <f ca="1">IF(IBRF!H16="","",IBRF!H16)</f>
        <v>42</v>
      </c>
      <c r="B31" s="90" t="str">
        <f ca="1">IF(IBRF!I16="","",IBRF!I16)</f>
        <v>Midnite Vulture</v>
      </c>
      <c r="C31" s="91"/>
      <c r="D31" s="92"/>
      <c r="E31" s="92"/>
      <c r="F31" s="92"/>
      <c r="G31" s="93"/>
      <c r="H31" s="89" t="str">
        <f t="shared" si="0"/>
        <v>42</v>
      </c>
      <c r="I31" s="90" t="str">
        <f t="shared" si="1"/>
        <v>Midnite Vulture</v>
      </c>
      <c r="J31" s="91"/>
      <c r="K31" s="92"/>
      <c r="L31" s="92"/>
      <c r="M31" s="92"/>
      <c r="N31" s="93"/>
    </row>
    <row r="32" spans="1:14" ht="15.75" customHeight="1">
      <c r="A32" s="84" t="str">
        <f ca="1">IF(IBRF!H17="","",IBRF!H17)</f>
        <v>50</v>
      </c>
      <c r="B32" s="85" t="str">
        <f ca="1">IF(IBRF!I17="","",IBRF!I17)</f>
        <v>Sam-I-Slam</v>
      </c>
      <c r="C32" s="86"/>
      <c r="D32" s="87"/>
      <c r="E32" s="87"/>
      <c r="F32" s="87"/>
      <c r="G32" s="88"/>
      <c r="H32" s="84" t="str">
        <f t="shared" si="0"/>
        <v>50</v>
      </c>
      <c r="I32" s="85" t="str">
        <f t="shared" si="1"/>
        <v>Sam-I-Slam</v>
      </c>
      <c r="J32" s="86"/>
      <c r="K32" s="87"/>
      <c r="L32" s="87"/>
      <c r="M32" s="87"/>
      <c r="N32" s="88"/>
    </row>
    <row r="33" spans="1:14" ht="15.75" customHeight="1">
      <c r="A33" s="89" t="str">
        <f ca="1">IF(IBRF!H18="","",IBRF!H18)</f>
        <v>620</v>
      </c>
      <c r="B33" s="90" t="str">
        <f ca="1">IF(IBRF!I18="","",IBRF!I18)</f>
        <v>Lazer Beam</v>
      </c>
      <c r="C33" s="91"/>
      <c r="D33" s="92"/>
      <c r="E33" s="92"/>
      <c r="F33" s="92"/>
      <c r="G33" s="93"/>
      <c r="H33" s="89" t="str">
        <f t="shared" si="0"/>
        <v>620</v>
      </c>
      <c r="I33" s="90" t="str">
        <f t="shared" si="1"/>
        <v>Lazer Beam</v>
      </c>
      <c r="J33" s="91"/>
      <c r="K33" s="92"/>
      <c r="L33" s="92"/>
      <c r="M33" s="92"/>
      <c r="N33" s="93"/>
    </row>
    <row r="34" spans="1:14" ht="15.75" customHeight="1">
      <c r="A34" s="84" t="str">
        <f ca="1">IF(IBRF!H19="","",IBRF!H19)</f>
        <v>7</v>
      </c>
      <c r="B34" s="85" t="str">
        <f ca="1">IF(IBRF!I19="","",IBRF!I19)</f>
        <v>CottonCandy Princess</v>
      </c>
      <c r="C34" s="86"/>
      <c r="D34" s="87"/>
      <c r="E34" s="87"/>
      <c r="F34" s="87"/>
      <c r="G34" s="88"/>
      <c r="H34" s="84" t="str">
        <f t="shared" si="0"/>
        <v>7</v>
      </c>
      <c r="I34" s="85" t="str">
        <f t="shared" si="1"/>
        <v>CottonCandy Princess</v>
      </c>
      <c r="J34" s="86"/>
      <c r="K34" s="87"/>
      <c r="L34" s="87"/>
      <c r="M34" s="87"/>
      <c r="N34" s="88"/>
    </row>
    <row r="35" spans="1:14" ht="15.75" customHeight="1">
      <c r="A35" s="89" t="str">
        <f ca="1">IF(IBRF!H20="","",IBRF!H20)</f>
        <v>72</v>
      </c>
      <c r="B35" s="90" t="str">
        <f ca="1">IF(IBRF!I20="","",IBRF!I20)</f>
        <v>Demonica Mars</v>
      </c>
      <c r="C35" s="91"/>
      <c r="D35" s="92"/>
      <c r="E35" s="92"/>
      <c r="F35" s="92"/>
      <c r="G35" s="93"/>
      <c r="H35" s="89" t="str">
        <f t="shared" si="0"/>
        <v>72</v>
      </c>
      <c r="I35" s="90" t="str">
        <f t="shared" si="1"/>
        <v>Demonica Mars</v>
      </c>
      <c r="J35" s="91"/>
      <c r="K35" s="92"/>
      <c r="L35" s="92"/>
      <c r="M35" s="92"/>
      <c r="N35" s="93"/>
    </row>
    <row r="36" spans="1:14" ht="15.75" customHeight="1">
      <c r="A36" s="84" t="str">
        <f ca="1">IF(IBRF!H21="","",IBRF!H21)</f>
        <v>9.81</v>
      </c>
      <c r="B36" s="85" t="str">
        <f ca="1">IF(IBRF!I21="","",IBRF!I21)</f>
        <v>Uhura Belle Death</v>
      </c>
      <c r="C36" s="86"/>
      <c r="D36" s="87"/>
      <c r="E36" s="87"/>
      <c r="F36" s="87"/>
      <c r="G36" s="88"/>
      <c r="H36" s="84" t="str">
        <f t="shared" si="0"/>
        <v>9.81</v>
      </c>
      <c r="I36" s="85" t="str">
        <f t="shared" si="1"/>
        <v>Uhura Belle Death</v>
      </c>
      <c r="J36" s="86"/>
      <c r="K36" s="87"/>
      <c r="L36" s="87"/>
      <c r="M36" s="87"/>
      <c r="N36" s="88"/>
    </row>
    <row r="37" spans="1:14" ht="15.75" customHeight="1">
      <c r="A37" s="89" t="str">
        <f ca="1">IF(IBRF!H22="","",IBRF!H22)</f>
        <v>I-75</v>
      </c>
      <c r="B37" s="90" t="str">
        <f ca="1">IF(IBRF!I22="","",IBRF!I22)</f>
        <v>Diesel Doll</v>
      </c>
      <c r="C37" s="91"/>
      <c r="D37" s="92"/>
      <c r="E37" s="92"/>
      <c r="F37" s="92"/>
      <c r="G37" s="93"/>
      <c r="H37" s="89" t="str">
        <f t="shared" si="0"/>
        <v>I-75</v>
      </c>
      <c r="I37" s="90" t="str">
        <f t="shared" si="1"/>
        <v>Diesel Doll</v>
      </c>
      <c r="J37" s="91"/>
      <c r="K37" s="92"/>
      <c r="L37" s="92"/>
      <c r="M37" s="92"/>
      <c r="N37" s="93"/>
    </row>
    <row r="38" spans="1:14" ht="15.75" customHeight="1">
      <c r="A38" s="84" t="str">
        <f ca="1">IF(IBRF!H23="","",IBRF!H23)</f>
        <v>N2O</v>
      </c>
      <c r="B38" s="85" t="str">
        <f ca="1">IF(IBRF!I23="","",IBRF!I23)</f>
        <v>Cool Whip</v>
      </c>
      <c r="C38" s="86"/>
      <c r="D38" s="87"/>
      <c r="E38" s="87"/>
      <c r="F38" s="87"/>
      <c r="G38" s="88"/>
      <c r="H38" s="84" t="str">
        <f t="shared" si="0"/>
        <v>N2O</v>
      </c>
      <c r="I38" s="85" t="str">
        <f t="shared" si="1"/>
        <v>Cool Whip</v>
      </c>
      <c r="J38" s="86"/>
      <c r="K38" s="87"/>
      <c r="L38" s="87"/>
      <c r="M38" s="87"/>
      <c r="N38" s="88"/>
    </row>
    <row r="39" spans="1:14" ht="15.75" customHeight="1">
      <c r="A39" s="89" t="str">
        <f ca="1">IF(IBRF!H24="","",IBRF!H24)</f>
        <v>W00T</v>
      </c>
      <c r="B39" s="90" t="str">
        <f ca="1">IF(IBRF!I24="","",IBRF!I24)</f>
        <v>Genniferal</v>
      </c>
      <c r="C39" s="91"/>
      <c r="D39" s="92"/>
      <c r="E39" s="92"/>
      <c r="F39" s="92"/>
      <c r="G39" s="93"/>
      <c r="H39" s="89" t="str">
        <f t="shared" si="0"/>
        <v>W00T</v>
      </c>
      <c r="I39" s="90" t="str">
        <f t="shared" si="1"/>
        <v>Genniferal</v>
      </c>
      <c r="J39" s="91"/>
      <c r="K39" s="92"/>
      <c r="L39" s="92"/>
      <c r="M39" s="92"/>
      <c r="N39" s="93"/>
    </row>
    <row r="40" spans="1:14" ht="15.75" customHeight="1">
      <c r="A40" s="84" t="str">
        <f ca="1">IF(IBRF!H25="","",IBRF!H25)</f>
        <v>Z28</v>
      </c>
      <c r="B40" s="85" t="str">
        <f ca="1">IF(IBRF!I25="","",IBRF!I25)</f>
        <v>V8 Nightmare</v>
      </c>
      <c r="C40" s="86"/>
      <c r="D40" s="87"/>
      <c r="E40" s="87"/>
      <c r="F40" s="87"/>
      <c r="G40" s="88"/>
      <c r="H40" s="84" t="str">
        <f t="shared" si="0"/>
        <v>Z28</v>
      </c>
      <c r="I40" s="85" t="str">
        <f t="shared" si="1"/>
        <v>V8 Nightmare</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95" t="s">
        <v>491</v>
      </c>
      <c r="B46" s="1195"/>
      <c r="C46" s="1195"/>
      <c r="D46" s="1195"/>
      <c r="E46" s="1195"/>
      <c r="F46" s="1195"/>
      <c r="G46" s="1195"/>
      <c r="H46" s="1195" t="s">
        <v>491</v>
      </c>
      <c r="I46" s="1195"/>
      <c r="J46" s="1195"/>
      <c r="K46" s="1195"/>
      <c r="L46" s="1195"/>
      <c r="M46" s="1195"/>
      <c r="N46" s="1195"/>
    </row>
    <row r="47" spans="1:14" ht="14" customHeight="1">
      <c r="A47" s="1196" t="s">
        <v>492</v>
      </c>
      <c r="B47" s="1196"/>
      <c r="C47" s="1196"/>
      <c r="D47" s="1196"/>
      <c r="E47" s="1196"/>
      <c r="F47" s="1196"/>
      <c r="G47" s="1196"/>
      <c r="H47" s="1196" t="s">
        <v>492</v>
      </c>
      <c r="I47" s="1196"/>
      <c r="J47" s="1196"/>
      <c r="K47" s="1196"/>
      <c r="L47" s="1196"/>
      <c r="M47" s="1196"/>
      <c r="N47" s="1196"/>
    </row>
    <row r="48" spans="1:14" ht="14" customHeight="1">
      <c r="A48" s="1196" t="s">
        <v>493</v>
      </c>
      <c r="B48" s="1196"/>
      <c r="C48" s="1196"/>
      <c r="D48" s="1196"/>
      <c r="E48" s="1196"/>
      <c r="F48" s="1196"/>
      <c r="G48" s="1196"/>
      <c r="H48" s="1196" t="s">
        <v>493</v>
      </c>
      <c r="I48" s="1196"/>
      <c r="J48" s="1196"/>
      <c r="K48" s="1196"/>
      <c r="L48" s="1196"/>
      <c r="M48" s="1196"/>
      <c r="N48" s="1196"/>
    </row>
    <row r="49" spans="1:14" ht="13.5" customHeight="1" thickBot="1">
      <c r="A49" s="1197" t="s">
        <v>494</v>
      </c>
      <c r="B49" s="1197"/>
      <c r="C49" s="1197"/>
      <c r="D49" s="1197"/>
      <c r="E49" s="1197"/>
      <c r="F49" s="1197"/>
      <c r="G49" s="1197"/>
      <c r="H49" s="1197" t="s">
        <v>494</v>
      </c>
      <c r="I49" s="1197"/>
      <c r="J49" s="1197"/>
      <c r="K49" s="1197"/>
      <c r="L49" s="1197"/>
      <c r="M49" s="1197"/>
      <c r="N49" s="1197"/>
    </row>
    <row r="50" spans="1:14" s="25" customFormat="1" ht="15" customHeight="1">
      <c r="A50" s="1176"/>
      <c r="B50" s="1176"/>
      <c r="C50" s="1179" t="s">
        <v>470</v>
      </c>
      <c r="D50" s="1179"/>
      <c r="E50" s="1179"/>
      <c r="F50" s="1180">
        <f ca="1">IF(ISBLANK(IBRF!$B$5), "", IBRF!$B$5)</f>
        <v>41377</v>
      </c>
      <c r="G50" s="1175">
        <v>1</v>
      </c>
      <c r="H50" s="1176"/>
      <c r="I50" s="1176"/>
      <c r="J50" s="1179" t="s">
        <v>470</v>
      </c>
      <c r="K50" s="1179"/>
      <c r="L50" s="1179"/>
      <c r="M50" s="1180">
        <f ca="1">IF(ISBLANK(IBRF!$B$5), "", IBRF!$B$5)</f>
        <v>41377</v>
      </c>
      <c r="N50" s="1175">
        <v>2</v>
      </c>
    </row>
    <row r="51" spans="1:14" s="25" customFormat="1" ht="15" customHeight="1">
      <c r="A51" s="1177"/>
      <c r="B51" s="1177"/>
      <c r="C51" s="1194" t="str">
        <f ca="1">Score!$A$1</f>
        <v>Detroit Pistoffs</v>
      </c>
      <c r="D51" s="1194"/>
      <c r="E51" s="1194"/>
      <c r="F51" s="1181"/>
      <c r="G51" s="1175"/>
      <c r="H51" s="1177"/>
      <c r="I51" s="1177"/>
      <c r="J51" s="1194" t="str">
        <f>C51</f>
        <v>Detroit Pistoffs</v>
      </c>
      <c r="K51" s="1194"/>
      <c r="L51" s="1194"/>
      <c r="M51" s="1181"/>
      <c r="N51" s="1175"/>
    </row>
    <row r="52" spans="1:14" s="25" customFormat="1" ht="15" customHeight="1">
      <c r="A52" s="1178" t="s">
        <v>471</v>
      </c>
      <c r="B52" s="1178"/>
      <c r="C52" s="1194"/>
      <c r="D52" s="1194"/>
      <c r="E52" s="1194"/>
      <c r="F52" s="82" t="s">
        <v>577</v>
      </c>
      <c r="G52" s="83" t="str">
        <f ca="1">IF(ISBLANK(Score!$R$2), "", Score!$R$2)</f>
        <v>BOUT 199</v>
      </c>
      <c r="H52" s="1178" t="s">
        <v>471</v>
      </c>
      <c r="I52" s="1178"/>
      <c r="J52" s="1194"/>
      <c r="K52" s="1194"/>
      <c r="L52" s="1194"/>
      <c r="M52" s="82" t="s">
        <v>577</v>
      </c>
      <c r="N52" s="83" t="str">
        <f ca="1">IF(ISBLANK(Score!$R$2), "", Score!$R$2)</f>
        <v>BOUT 199</v>
      </c>
    </row>
    <row r="53" spans="1:14" s="25" customFormat="1" ht="20" customHeight="1">
      <c r="A53" s="1191" t="str">
        <f ca="1">Score!$T$1</f>
        <v>Pistolwhippers</v>
      </c>
      <c r="B53" s="1192"/>
      <c r="C53" s="314" t="s">
        <v>162</v>
      </c>
      <c r="D53" s="315" t="s">
        <v>163</v>
      </c>
      <c r="E53" s="315" t="s">
        <v>87</v>
      </c>
      <c r="F53" s="315" t="s">
        <v>88</v>
      </c>
      <c r="G53" s="316" t="s">
        <v>89</v>
      </c>
      <c r="H53" s="1191" t="str">
        <f t="shared" ref="H53:H94" si="2">A53</f>
        <v>Pistolwhippers</v>
      </c>
      <c r="I53" s="1192"/>
      <c r="J53" s="314" t="s">
        <v>162</v>
      </c>
      <c r="K53" s="315" t="s">
        <v>163</v>
      </c>
      <c r="L53" s="315" t="s">
        <v>87</v>
      </c>
      <c r="M53" s="315" t="s">
        <v>88</v>
      </c>
      <c r="N53" s="316" t="s">
        <v>89</v>
      </c>
    </row>
    <row r="54" spans="1:14" ht="15.75" customHeight="1">
      <c r="A54" s="84" t="str">
        <f ca="1">IF(IBRF!H11="","",IBRF!H11)</f>
        <v>182</v>
      </c>
      <c r="B54" s="85" t="str">
        <f ca="1">IF(IBRF!I11="","",IBRF!I11)</f>
        <v>Travis Blocker</v>
      </c>
      <c r="C54" s="86"/>
      <c r="D54" s="87"/>
      <c r="E54" s="87"/>
      <c r="F54" s="87"/>
      <c r="G54" s="88"/>
      <c r="H54" s="84" t="str">
        <f t="shared" si="2"/>
        <v>182</v>
      </c>
      <c r="I54" s="85" t="str">
        <f t="shared" ref="I54:I73" si="3">B54</f>
        <v>Travis Blocker</v>
      </c>
      <c r="J54" s="86"/>
      <c r="K54" s="87"/>
      <c r="L54" s="87"/>
      <c r="M54" s="87"/>
      <c r="N54" s="88"/>
    </row>
    <row r="55" spans="1:14" ht="15.75" customHeight="1">
      <c r="A55" s="89" t="str">
        <f ca="1">IF(IBRF!H12="","",IBRF!H12)</f>
        <v>2¢</v>
      </c>
      <c r="B55" s="90" t="str">
        <f ca="1">IF(IBRF!I12="","",IBRF!I12)</f>
        <v>Vera Toss</v>
      </c>
      <c r="C55" s="91"/>
      <c r="D55" s="92"/>
      <c r="E55" s="92"/>
      <c r="F55" s="92"/>
      <c r="G55" s="93"/>
      <c r="H55" s="89" t="str">
        <f t="shared" si="2"/>
        <v>2¢</v>
      </c>
      <c r="I55" s="90" t="str">
        <f t="shared" si="3"/>
        <v>Vera Toss</v>
      </c>
      <c r="J55" s="91"/>
      <c r="K55" s="92"/>
      <c r="L55" s="92"/>
      <c r="M55" s="92"/>
      <c r="N55" s="93"/>
    </row>
    <row r="56" spans="1:14" ht="15.75" customHeight="1">
      <c r="A56" s="84" t="str">
        <f ca="1">IF(IBRF!H13="","",IBRF!H13)</f>
        <v>24/7</v>
      </c>
      <c r="B56" s="85" t="str">
        <f ca="1">IF(IBRF!I13="","",IBRF!I13)</f>
        <v>boo d. livers</v>
      </c>
      <c r="C56" s="86"/>
      <c r="D56" s="87"/>
      <c r="E56" s="87"/>
      <c r="F56" s="87"/>
      <c r="G56" s="88"/>
      <c r="H56" s="84" t="str">
        <f t="shared" si="2"/>
        <v>24/7</v>
      </c>
      <c r="I56" s="85" t="str">
        <f t="shared" si="3"/>
        <v>boo d. livers</v>
      </c>
      <c r="J56" s="86"/>
      <c r="K56" s="87"/>
      <c r="L56" s="87"/>
      <c r="M56" s="87"/>
      <c r="N56" s="88"/>
    </row>
    <row r="57" spans="1:14" ht="15.75" customHeight="1">
      <c r="A57" s="89" t="str">
        <f ca="1">IF(IBRF!H14="","",IBRF!H14)</f>
        <v>27</v>
      </c>
      <c r="B57" s="90" t="str">
        <f ca="1">IF(IBRF!I14="","",IBRF!I14)</f>
        <v>A.O. Lesgo</v>
      </c>
      <c r="C57" s="91"/>
      <c r="D57" s="92"/>
      <c r="E57" s="92"/>
      <c r="F57" s="92"/>
      <c r="G57" s="93"/>
      <c r="H57" s="89" t="str">
        <f t="shared" si="2"/>
        <v>27</v>
      </c>
      <c r="I57" s="90" t="str">
        <f t="shared" si="3"/>
        <v>A.O. Lesgo</v>
      </c>
      <c r="J57" s="91"/>
      <c r="K57" s="92"/>
      <c r="L57" s="92"/>
      <c r="M57" s="92"/>
      <c r="N57" s="93"/>
    </row>
    <row r="58" spans="1:14" ht="15.75" customHeight="1">
      <c r="A58" s="84" t="str">
        <f ca="1">IF(IBRF!H15="","",IBRF!H15)</f>
        <v>38DD</v>
      </c>
      <c r="B58" s="85" t="str">
        <f ca="1">IF(IBRF!I15="","",IBRF!I15)</f>
        <v>Tig O' Hitties</v>
      </c>
      <c r="C58" s="86"/>
      <c r="D58" s="87"/>
      <c r="E58" s="87"/>
      <c r="F58" s="87"/>
      <c r="G58" s="88"/>
      <c r="H58" s="84" t="str">
        <f t="shared" si="2"/>
        <v>38DD</v>
      </c>
      <c r="I58" s="85" t="str">
        <f t="shared" si="3"/>
        <v>Tig O' Hitties</v>
      </c>
      <c r="J58" s="86"/>
      <c r="K58" s="87"/>
      <c r="L58" s="87"/>
      <c r="M58" s="87"/>
      <c r="N58" s="88"/>
    </row>
    <row r="59" spans="1:14" ht="15.75" customHeight="1">
      <c r="A59" s="89" t="str">
        <f ca="1">IF(IBRF!H16="","",IBRF!H16)</f>
        <v>42</v>
      </c>
      <c r="B59" s="90" t="str">
        <f ca="1">IF(IBRF!I16="","",IBRF!I16)</f>
        <v>Midnite Vulture</v>
      </c>
      <c r="C59" s="91"/>
      <c r="D59" s="92"/>
      <c r="E59" s="92"/>
      <c r="F59" s="92"/>
      <c r="G59" s="93"/>
      <c r="H59" s="89" t="str">
        <f t="shared" si="2"/>
        <v>42</v>
      </c>
      <c r="I59" s="90" t="str">
        <f t="shared" si="3"/>
        <v>Midnite Vulture</v>
      </c>
      <c r="J59" s="91"/>
      <c r="K59" s="92"/>
      <c r="L59" s="92"/>
      <c r="M59" s="92"/>
      <c r="N59" s="93"/>
    </row>
    <row r="60" spans="1:14" ht="15.75" customHeight="1">
      <c r="A60" s="84" t="str">
        <f ca="1">IF(IBRF!H17="","",IBRF!H17)</f>
        <v>50</v>
      </c>
      <c r="B60" s="85" t="str">
        <f ca="1">IF(IBRF!I17="","",IBRF!I17)</f>
        <v>Sam-I-Slam</v>
      </c>
      <c r="C60" s="86"/>
      <c r="D60" s="87"/>
      <c r="E60" s="87"/>
      <c r="F60" s="87"/>
      <c r="G60" s="88"/>
      <c r="H60" s="84" t="str">
        <f t="shared" si="2"/>
        <v>50</v>
      </c>
      <c r="I60" s="85" t="str">
        <f t="shared" si="3"/>
        <v>Sam-I-Slam</v>
      </c>
      <c r="J60" s="86"/>
      <c r="K60" s="87"/>
      <c r="L60" s="87"/>
      <c r="M60" s="87"/>
      <c r="N60" s="88"/>
    </row>
    <row r="61" spans="1:14" ht="15.75" customHeight="1">
      <c r="A61" s="89" t="str">
        <f ca="1">IF(IBRF!H18="","",IBRF!H18)</f>
        <v>620</v>
      </c>
      <c r="B61" s="90" t="str">
        <f ca="1">IF(IBRF!I18="","",IBRF!I18)</f>
        <v>Lazer Beam</v>
      </c>
      <c r="C61" s="91"/>
      <c r="D61" s="92"/>
      <c r="E61" s="92"/>
      <c r="F61" s="92"/>
      <c r="G61" s="93"/>
      <c r="H61" s="89" t="str">
        <f t="shared" si="2"/>
        <v>620</v>
      </c>
      <c r="I61" s="90" t="str">
        <f t="shared" si="3"/>
        <v>Lazer Beam</v>
      </c>
      <c r="J61" s="91"/>
      <c r="K61" s="92"/>
      <c r="L61" s="92"/>
      <c r="M61" s="92"/>
      <c r="N61" s="93"/>
    </row>
    <row r="62" spans="1:14" ht="15.75" customHeight="1">
      <c r="A62" s="84" t="str">
        <f ca="1">IF(IBRF!H19="","",IBRF!H19)</f>
        <v>7</v>
      </c>
      <c r="B62" s="85" t="str">
        <f ca="1">IF(IBRF!I19="","",IBRF!I19)</f>
        <v>CottonCandy Princess</v>
      </c>
      <c r="C62" s="86"/>
      <c r="D62" s="87"/>
      <c r="E62" s="87"/>
      <c r="F62" s="87"/>
      <c r="G62" s="88"/>
      <c r="H62" s="84" t="str">
        <f t="shared" si="2"/>
        <v>7</v>
      </c>
      <c r="I62" s="85" t="str">
        <f t="shared" si="3"/>
        <v>CottonCandy Princess</v>
      </c>
      <c r="J62" s="86"/>
      <c r="K62" s="87"/>
      <c r="L62" s="87"/>
      <c r="M62" s="87"/>
      <c r="N62" s="88"/>
    </row>
    <row r="63" spans="1:14" ht="15.75" customHeight="1">
      <c r="A63" s="89" t="str">
        <f ca="1">IF(IBRF!H20="","",IBRF!H20)</f>
        <v>72</v>
      </c>
      <c r="B63" s="90" t="str">
        <f ca="1">IF(IBRF!I20="","",IBRF!I20)</f>
        <v>Demonica Mars</v>
      </c>
      <c r="C63" s="91"/>
      <c r="D63" s="92"/>
      <c r="E63" s="92"/>
      <c r="F63" s="92"/>
      <c r="G63" s="93"/>
      <c r="H63" s="89" t="str">
        <f t="shared" si="2"/>
        <v>72</v>
      </c>
      <c r="I63" s="90" t="str">
        <f t="shared" si="3"/>
        <v>Demonica Mars</v>
      </c>
      <c r="J63" s="91"/>
      <c r="K63" s="92"/>
      <c r="L63" s="92"/>
      <c r="M63" s="92"/>
      <c r="N63" s="93"/>
    </row>
    <row r="64" spans="1:14" ht="15.75" customHeight="1">
      <c r="A64" s="84" t="str">
        <f ca="1">IF(IBRF!H21="","",IBRF!H21)</f>
        <v>9.81</v>
      </c>
      <c r="B64" s="85" t="str">
        <f ca="1">IF(IBRF!I21="","",IBRF!I21)</f>
        <v>Uhura Belle Death</v>
      </c>
      <c r="C64" s="86"/>
      <c r="D64" s="87"/>
      <c r="E64" s="87"/>
      <c r="F64" s="87"/>
      <c r="G64" s="88"/>
      <c r="H64" s="84" t="str">
        <f t="shared" si="2"/>
        <v>9.81</v>
      </c>
      <c r="I64" s="85" t="str">
        <f t="shared" si="3"/>
        <v>Uhura Belle Death</v>
      </c>
      <c r="J64" s="86"/>
      <c r="K64" s="87"/>
      <c r="L64" s="87"/>
      <c r="M64" s="87"/>
      <c r="N64" s="88"/>
    </row>
    <row r="65" spans="1:14" ht="15.75" customHeight="1">
      <c r="A65" s="89" t="str">
        <f ca="1">IF(IBRF!H22="","",IBRF!H22)</f>
        <v>I-75</v>
      </c>
      <c r="B65" s="90" t="str">
        <f ca="1">IF(IBRF!I22="","",IBRF!I22)</f>
        <v>Diesel Doll</v>
      </c>
      <c r="C65" s="91"/>
      <c r="D65" s="92"/>
      <c r="E65" s="92"/>
      <c r="F65" s="92"/>
      <c r="G65" s="93"/>
      <c r="H65" s="89" t="str">
        <f t="shared" si="2"/>
        <v>I-75</v>
      </c>
      <c r="I65" s="90" t="str">
        <f t="shared" si="3"/>
        <v>Diesel Doll</v>
      </c>
      <c r="J65" s="91"/>
      <c r="K65" s="92"/>
      <c r="L65" s="92"/>
      <c r="M65" s="92"/>
      <c r="N65" s="93"/>
    </row>
    <row r="66" spans="1:14" ht="15.75" customHeight="1">
      <c r="A66" s="84" t="str">
        <f ca="1">IF(IBRF!H23="","",IBRF!H23)</f>
        <v>N2O</v>
      </c>
      <c r="B66" s="85" t="str">
        <f ca="1">IF(IBRF!I23="","",IBRF!I23)</f>
        <v>Cool Whip</v>
      </c>
      <c r="C66" s="86"/>
      <c r="D66" s="87"/>
      <c r="E66" s="87"/>
      <c r="F66" s="87"/>
      <c r="G66" s="88"/>
      <c r="H66" s="84" t="str">
        <f t="shared" si="2"/>
        <v>N2O</v>
      </c>
      <c r="I66" s="85" t="str">
        <f t="shared" si="3"/>
        <v>Cool Whip</v>
      </c>
      <c r="J66" s="86"/>
      <c r="K66" s="87"/>
      <c r="L66" s="87"/>
      <c r="M66" s="87"/>
      <c r="N66" s="88"/>
    </row>
    <row r="67" spans="1:14" ht="15.75" customHeight="1">
      <c r="A67" s="89" t="str">
        <f ca="1">IF(IBRF!H24="","",IBRF!H24)</f>
        <v>W00T</v>
      </c>
      <c r="B67" s="90" t="str">
        <f ca="1">IF(IBRF!I24="","",IBRF!I24)</f>
        <v>Genniferal</v>
      </c>
      <c r="C67" s="91"/>
      <c r="D67" s="92"/>
      <c r="E67" s="92"/>
      <c r="F67" s="92"/>
      <c r="G67" s="93"/>
      <c r="H67" s="89" t="str">
        <f t="shared" si="2"/>
        <v>W00T</v>
      </c>
      <c r="I67" s="90" t="str">
        <f t="shared" si="3"/>
        <v>Genniferal</v>
      </c>
      <c r="J67" s="91"/>
      <c r="K67" s="92"/>
      <c r="L67" s="92"/>
      <c r="M67" s="92"/>
      <c r="N67" s="93"/>
    </row>
    <row r="68" spans="1:14" ht="15.75" customHeight="1">
      <c r="A68" s="84" t="str">
        <f ca="1">IF(IBRF!H25="","",IBRF!H25)</f>
        <v>Z28</v>
      </c>
      <c r="B68" s="85" t="str">
        <f ca="1">IF(IBRF!I25="","",IBRF!I25)</f>
        <v>V8 Nightmare</v>
      </c>
      <c r="C68" s="86"/>
      <c r="D68" s="87"/>
      <c r="E68" s="87"/>
      <c r="F68" s="87"/>
      <c r="G68" s="88"/>
      <c r="H68" s="84" t="str">
        <f t="shared" si="2"/>
        <v>Z28</v>
      </c>
      <c r="I68" s="85" t="str">
        <f t="shared" si="3"/>
        <v>V8 Nightmare</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91" t="str">
        <f ca="1">C51</f>
        <v>Detroit Pistoffs</v>
      </c>
      <c r="B74" s="1193"/>
      <c r="C74" s="315" t="s">
        <v>90</v>
      </c>
      <c r="D74" s="315" t="s">
        <v>171</v>
      </c>
      <c r="E74" s="315" t="s">
        <v>172</v>
      </c>
      <c r="F74" s="315" t="s">
        <v>173</v>
      </c>
      <c r="G74" s="315" t="s">
        <v>174</v>
      </c>
      <c r="H74" s="1191" t="str">
        <f t="shared" si="2"/>
        <v>Detroit Pistoffs</v>
      </c>
      <c r="I74" s="1193"/>
      <c r="J74" s="315" t="s">
        <v>90</v>
      </c>
      <c r="K74" s="315" t="s">
        <v>171</v>
      </c>
      <c r="L74" s="315" t="s">
        <v>172</v>
      </c>
      <c r="M74" s="315" t="s">
        <v>173</v>
      </c>
      <c r="N74" s="315" t="s">
        <v>174</v>
      </c>
    </row>
    <row r="75" spans="1:14" ht="15.75" customHeight="1">
      <c r="A75" s="84" t="str">
        <f ca="1">IF(IBRF!B11="","",IBRF!B11)</f>
        <v>138</v>
      </c>
      <c r="B75" s="85" t="str">
        <f ca="1">IF(IBRF!C11="","",IBRF!C11)</f>
        <v>Mag Pie</v>
      </c>
      <c r="C75" s="86"/>
      <c r="D75" s="87"/>
      <c r="E75" s="87"/>
      <c r="F75" s="87"/>
      <c r="G75" s="88"/>
      <c r="H75" s="84" t="str">
        <f t="shared" si="2"/>
        <v>138</v>
      </c>
      <c r="I75" s="85" t="str">
        <f t="shared" ref="I75:I94" si="4">B75</f>
        <v>Mag Pie</v>
      </c>
      <c r="J75" s="86"/>
      <c r="K75" s="87"/>
      <c r="L75" s="87"/>
      <c r="M75" s="87"/>
      <c r="N75" s="88"/>
    </row>
    <row r="76" spans="1:14" ht="15.75" customHeight="1">
      <c r="A76" s="89" t="str">
        <f ca="1">IF(IBRF!B12="","",IBRF!B12)</f>
        <v>181</v>
      </c>
      <c r="B76" s="90" t="str">
        <f ca="1">IF(IBRF!C12="","",IBRF!C12)</f>
        <v>Vega Vendetta</v>
      </c>
      <c r="C76" s="91"/>
      <c r="D76" s="92"/>
      <c r="E76" s="92"/>
      <c r="F76" s="92"/>
      <c r="G76" s="93"/>
      <c r="H76" s="89" t="str">
        <f t="shared" si="2"/>
        <v>181</v>
      </c>
      <c r="I76" s="90" t="str">
        <f t="shared" si="4"/>
        <v>Vega Vendetta</v>
      </c>
      <c r="J76" s="91"/>
      <c r="K76" s="92"/>
      <c r="L76" s="92"/>
      <c r="M76" s="92"/>
      <c r="N76" s="93"/>
    </row>
    <row r="77" spans="1:14" ht="15.75" customHeight="1">
      <c r="A77" s="84" t="str">
        <f ca="1">IF(IBRF!B13="","",IBRF!B13)</f>
        <v>1821</v>
      </c>
      <c r="B77" s="85" t="str">
        <f ca="1">IF(IBRF!C13="","",IBRF!C13)</f>
        <v>Mexi-Go</v>
      </c>
      <c r="C77" s="86"/>
      <c r="D77" s="87"/>
      <c r="E77" s="87"/>
      <c r="F77" s="87"/>
      <c r="G77" s="88"/>
      <c r="H77" s="84" t="str">
        <f t="shared" si="2"/>
        <v>1821</v>
      </c>
      <c r="I77" s="85" t="str">
        <f t="shared" si="4"/>
        <v>Mexi-Go</v>
      </c>
      <c r="J77" s="86"/>
      <c r="K77" s="87"/>
      <c r="L77" s="87"/>
      <c r="M77" s="87"/>
      <c r="N77" s="88"/>
    </row>
    <row r="78" spans="1:14" ht="15.75" customHeight="1">
      <c r="A78" s="89" t="str">
        <f ca="1">IF(IBRF!B14="","",IBRF!B14)</f>
        <v>187</v>
      </c>
      <c r="B78" s="90" t="str">
        <f ca="1">IF(IBRF!C14="","",IBRF!C14)</f>
        <v>VeroniKILL</v>
      </c>
      <c r="C78" s="91"/>
      <c r="D78" s="92"/>
      <c r="E78" s="92"/>
      <c r="F78" s="92"/>
      <c r="G78" s="93"/>
      <c r="H78" s="89" t="str">
        <f t="shared" si="2"/>
        <v>187</v>
      </c>
      <c r="I78" s="90" t="str">
        <f t="shared" si="4"/>
        <v>VeroniKILL</v>
      </c>
      <c r="J78" s="91"/>
      <c r="K78" s="92"/>
      <c r="L78" s="92"/>
      <c r="M78" s="92"/>
      <c r="N78" s="93"/>
    </row>
    <row r="79" spans="1:14" ht="15.75" customHeight="1">
      <c r="A79" s="84" t="str">
        <f ca="1">IF(IBRF!B15="","",IBRF!B15)</f>
        <v>1879</v>
      </c>
      <c r="B79" s="85" t="str">
        <f ca="1">IF(IBRF!C15="","",IBRF!C15)</f>
        <v>Belle Isle Hurtya</v>
      </c>
      <c r="C79" s="86"/>
      <c r="D79" s="87"/>
      <c r="E79" s="87"/>
      <c r="F79" s="87"/>
      <c r="G79" s="88"/>
      <c r="H79" s="84" t="str">
        <f t="shared" si="2"/>
        <v>1879</v>
      </c>
      <c r="I79" s="85" t="str">
        <f t="shared" si="4"/>
        <v>Belle Isle Hurtya</v>
      </c>
      <c r="J79" s="86"/>
      <c r="K79" s="87"/>
      <c r="L79" s="87"/>
      <c r="M79" s="87"/>
      <c r="N79" s="88"/>
    </row>
    <row r="80" spans="1:14" ht="15.75" customHeight="1">
      <c r="A80" s="89" t="str">
        <f ca="1">IF(IBRF!B16="","",IBRF!B16)</f>
        <v>20</v>
      </c>
      <c r="B80" s="90" t="str">
        <f ca="1">IF(IBRF!C16="","",IBRF!C16)</f>
        <v>Devil Kitty</v>
      </c>
      <c r="C80" s="91"/>
      <c r="D80" s="92"/>
      <c r="E80" s="92"/>
      <c r="F80" s="92"/>
      <c r="G80" s="93"/>
      <c r="H80" s="89" t="str">
        <f t="shared" si="2"/>
        <v>20</v>
      </c>
      <c r="I80" s="90" t="str">
        <f t="shared" si="4"/>
        <v>Devil Kitty</v>
      </c>
      <c r="J80" s="91"/>
      <c r="K80" s="92"/>
      <c r="L80" s="92"/>
      <c r="M80" s="92"/>
      <c r="N80" s="93"/>
    </row>
    <row r="81" spans="1:14" ht="15.75" customHeight="1">
      <c r="A81" s="84" t="str">
        <f ca="1">IF(IBRF!B17="","",IBRF!B17)</f>
        <v>20KN</v>
      </c>
      <c r="B81" s="85" t="str">
        <f ca="1">IF(IBRF!C17="","",IBRF!C17)</f>
        <v>Kraken Whips</v>
      </c>
      <c r="C81" s="86"/>
      <c r="D81" s="87"/>
      <c r="E81" s="87"/>
      <c r="F81" s="87"/>
      <c r="G81" s="88"/>
      <c r="H81" s="84" t="str">
        <f t="shared" si="2"/>
        <v>20KN</v>
      </c>
      <c r="I81" s="85" t="str">
        <f t="shared" si="4"/>
        <v>Kraken Whips</v>
      </c>
      <c r="J81" s="86"/>
      <c r="K81" s="87"/>
      <c r="L81" s="87"/>
      <c r="M81" s="87"/>
      <c r="N81" s="88"/>
    </row>
    <row r="82" spans="1:14" ht="15.75" customHeight="1">
      <c r="A82" s="89" t="str">
        <f ca="1">IF(IBRF!B18="","",IBRF!B18)</f>
        <v>212</v>
      </c>
      <c r="B82" s="90" t="str">
        <f ca="1">IF(IBRF!C18="","",IBRF!C18)</f>
        <v>Wham!tramck</v>
      </c>
      <c r="C82" s="91"/>
      <c r="D82" s="92"/>
      <c r="E82" s="92"/>
      <c r="F82" s="92"/>
      <c r="G82" s="93"/>
      <c r="H82" s="89" t="str">
        <f t="shared" si="2"/>
        <v>212</v>
      </c>
      <c r="I82" s="90" t="str">
        <f t="shared" si="4"/>
        <v>Wham!tramck</v>
      </c>
      <c r="J82" s="91"/>
      <c r="K82" s="92"/>
      <c r="L82" s="92"/>
      <c r="M82" s="92"/>
      <c r="N82" s="93"/>
    </row>
    <row r="83" spans="1:14" ht="15.75" customHeight="1">
      <c r="A83" s="84" t="str">
        <f ca="1">IF(IBRF!B19="","",IBRF!B19)</f>
        <v>33 1/3</v>
      </c>
      <c r="B83" s="85" t="str">
        <f ca="1">IF(IBRF!C19="","",IBRF!C19)</f>
        <v>Cookie Rumble</v>
      </c>
      <c r="C83" s="86"/>
      <c r="D83" s="87"/>
      <c r="E83" s="87"/>
      <c r="F83" s="87"/>
      <c r="G83" s="88"/>
      <c r="H83" s="84" t="str">
        <f t="shared" si="2"/>
        <v>33 1/3</v>
      </c>
      <c r="I83" s="85" t="str">
        <f t="shared" si="4"/>
        <v>Cookie Rumble</v>
      </c>
      <c r="J83" s="86"/>
      <c r="K83" s="87"/>
      <c r="L83" s="87"/>
      <c r="M83" s="87"/>
      <c r="N83" s="88"/>
    </row>
    <row r="84" spans="1:14" ht="15.75" customHeight="1">
      <c r="A84" s="89" t="str">
        <f ca="1">IF(IBRF!B20="","",IBRF!B20)</f>
        <v>428</v>
      </c>
      <c r="B84" s="90" t="str">
        <f ca="1">IF(IBRF!C20="","",IBRF!C20)</f>
        <v>Freakin' Rican</v>
      </c>
      <c r="C84" s="91"/>
      <c r="D84" s="92"/>
      <c r="E84" s="92"/>
      <c r="F84" s="92"/>
      <c r="G84" s="93"/>
      <c r="H84" s="89" t="str">
        <f t="shared" si="2"/>
        <v>428</v>
      </c>
      <c r="I84" s="90" t="str">
        <f t="shared" si="4"/>
        <v>Freakin' Rican</v>
      </c>
      <c r="J84" s="91"/>
      <c r="K84" s="92"/>
      <c r="L84" s="92"/>
      <c r="M84" s="92"/>
      <c r="N84" s="93"/>
    </row>
    <row r="85" spans="1:14" ht="15.75" customHeight="1">
      <c r="A85" s="84" t="str">
        <f ca="1">IF(IBRF!B21="","",IBRF!B21)</f>
        <v>6</v>
      </c>
      <c r="B85" s="85" t="str">
        <f ca="1">IF(IBRF!C21="","",IBRF!C21)</f>
        <v>Elle McFearsome</v>
      </c>
      <c r="C85" s="86"/>
      <c r="D85" s="87"/>
      <c r="E85" s="87"/>
      <c r="F85" s="87"/>
      <c r="G85" s="88"/>
      <c r="H85" s="84" t="str">
        <f t="shared" si="2"/>
        <v>6</v>
      </c>
      <c r="I85" s="85" t="str">
        <f t="shared" si="4"/>
        <v>Elle McFearsome</v>
      </c>
      <c r="J85" s="86"/>
      <c r="K85" s="87"/>
      <c r="L85" s="87"/>
      <c r="M85" s="87"/>
      <c r="N85" s="88"/>
    </row>
    <row r="86" spans="1:14" ht="15.75" customHeight="1">
      <c r="A86" s="89" t="str">
        <f ca="1">IF(IBRF!B22="","",IBRF!B22)</f>
        <v>728</v>
      </c>
      <c r="B86" s="90" t="str">
        <f ca="1">IF(IBRF!C22="","",IBRF!C22)</f>
        <v>Combat Cat</v>
      </c>
      <c r="C86" s="91"/>
      <c r="D86" s="92"/>
      <c r="E86" s="92"/>
      <c r="F86" s="92"/>
      <c r="G86" s="93"/>
      <c r="H86" s="89" t="str">
        <f t="shared" si="2"/>
        <v>728</v>
      </c>
      <c r="I86" s="90" t="str">
        <f t="shared" si="4"/>
        <v>Combat Cat</v>
      </c>
      <c r="J86" s="91"/>
      <c r="K86" s="92"/>
      <c r="L86" s="92"/>
      <c r="M86" s="92"/>
      <c r="N86" s="93"/>
    </row>
    <row r="87" spans="1:14" ht="15.75" customHeight="1">
      <c r="A87" s="84" t="str">
        <f ca="1">IF(IBRF!B23="","",IBRF!B23)</f>
        <v>80</v>
      </c>
      <c r="B87" s="85" t="str">
        <f ca="1">IF(IBRF!C23="","",IBRF!C23)</f>
        <v>Mean Streak</v>
      </c>
      <c r="C87" s="86"/>
      <c r="D87" s="87"/>
      <c r="E87" s="87"/>
      <c r="F87" s="87"/>
      <c r="G87" s="88"/>
      <c r="H87" s="84" t="str">
        <f t="shared" si="2"/>
        <v>80</v>
      </c>
      <c r="I87" s="85" t="str">
        <f t="shared" si="4"/>
        <v>Mean Streak</v>
      </c>
      <c r="J87" s="86"/>
      <c r="K87" s="87"/>
      <c r="L87" s="87"/>
      <c r="M87" s="87"/>
      <c r="N87" s="88"/>
    </row>
    <row r="88" spans="1:14" ht="15.75" customHeight="1">
      <c r="A88" s="89" t="str">
        <f ca="1">IF(IBRF!B24="","",IBRF!B24)</f>
        <v>9.99</v>
      </c>
      <c r="B88" s="90" t="str">
        <f ca="1">IF(IBRF!C24="","",IBRF!C24)</f>
        <v>U.S.S. DentHerPrize</v>
      </c>
      <c r="C88" s="91"/>
      <c r="D88" s="92"/>
      <c r="E88" s="92"/>
      <c r="F88" s="92"/>
      <c r="G88" s="93"/>
      <c r="H88" s="89" t="str">
        <f t="shared" si="2"/>
        <v>9.99</v>
      </c>
      <c r="I88" s="90" t="str">
        <f t="shared" si="4"/>
        <v>U.S.S. DentHerPrize</v>
      </c>
      <c r="J88" s="91"/>
      <c r="K88" s="92"/>
      <c r="L88" s="92"/>
      <c r="M88" s="92"/>
      <c r="N88" s="93"/>
    </row>
    <row r="89" spans="1:14" ht="15.75" customHeight="1">
      <c r="A89" s="84" t="str">
        <f ca="1">IF(IBRF!B25="","",IBRF!B25)</f>
        <v>F14</v>
      </c>
      <c r="B89" s="85" t="str">
        <f ca="1">IF(IBRF!C25="","",IBRF!C25)</f>
        <v>Apertorture</v>
      </c>
      <c r="C89" s="86"/>
      <c r="D89" s="87"/>
      <c r="E89" s="87"/>
      <c r="F89" s="87"/>
      <c r="G89" s="88"/>
      <c r="H89" s="84" t="str">
        <f t="shared" si="2"/>
        <v>F14</v>
      </c>
      <c r="I89" s="85" t="str">
        <f t="shared" si="4"/>
        <v>Apertorture</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95" t="s">
        <v>491</v>
      </c>
      <c r="B95" s="1195"/>
      <c r="C95" s="1195"/>
      <c r="D95" s="1195"/>
      <c r="E95" s="1195"/>
      <c r="F95" s="1195"/>
      <c r="G95" s="1195"/>
      <c r="H95" s="1195" t="s">
        <v>491</v>
      </c>
      <c r="I95" s="1195"/>
      <c r="J95" s="1195"/>
      <c r="K95" s="1195"/>
      <c r="L95" s="1195"/>
      <c r="M95" s="1195"/>
      <c r="N95" s="1195"/>
    </row>
    <row r="96" spans="1:14" ht="14" customHeight="1">
      <c r="A96" s="1196" t="s">
        <v>492</v>
      </c>
      <c r="B96" s="1196"/>
      <c r="C96" s="1196"/>
      <c r="D96" s="1196"/>
      <c r="E96" s="1196"/>
      <c r="F96" s="1196"/>
      <c r="G96" s="1196"/>
      <c r="H96" s="1196" t="s">
        <v>492</v>
      </c>
      <c r="I96" s="1196"/>
      <c r="J96" s="1196"/>
      <c r="K96" s="1196"/>
      <c r="L96" s="1196"/>
      <c r="M96" s="1196"/>
      <c r="N96" s="1196"/>
    </row>
    <row r="97" spans="1:14" ht="14" customHeight="1">
      <c r="A97" s="1196" t="s">
        <v>493</v>
      </c>
      <c r="B97" s="1196"/>
      <c r="C97" s="1196"/>
      <c r="D97" s="1196"/>
      <c r="E97" s="1196"/>
      <c r="F97" s="1196"/>
      <c r="G97" s="1196"/>
      <c r="H97" s="1196" t="s">
        <v>493</v>
      </c>
      <c r="I97" s="1196"/>
      <c r="J97" s="1196"/>
      <c r="K97" s="1196"/>
      <c r="L97" s="1196"/>
      <c r="M97" s="1196"/>
      <c r="N97" s="1196"/>
    </row>
    <row r="98" spans="1:14" ht="13.5" customHeight="1" thickBot="1">
      <c r="A98" s="1197" t="s">
        <v>494</v>
      </c>
      <c r="B98" s="1197"/>
      <c r="C98" s="1197"/>
      <c r="D98" s="1197"/>
      <c r="E98" s="1197"/>
      <c r="F98" s="1197"/>
      <c r="G98" s="1197"/>
      <c r="H98" s="1197" t="s">
        <v>494</v>
      </c>
      <c r="I98" s="1197"/>
      <c r="J98" s="1197"/>
      <c r="K98" s="1197"/>
      <c r="L98" s="1197"/>
      <c r="M98" s="1197"/>
      <c r="N98" s="1197"/>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495</v>
      </c>
      <c r="B1" s="1200" t="str">
        <f ca="1">Score!$A$1</f>
        <v>Detroit Pistoffs</v>
      </c>
      <c r="C1" s="1200"/>
      <c r="D1" s="1200"/>
      <c r="E1" s="1179"/>
      <c r="F1" s="1179"/>
      <c r="G1" s="1179"/>
      <c r="H1" s="1198">
        <f ca="1">IF(ISBLANK(IBRF!$B$5), "", IBRF!$B$5)</f>
        <v>41377</v>
      </c>
      <c r="I1" s="1209">
        <v>1</v>
      </c>
    </row>
    <row r="2" spans="1:9" s="19" customFormat="1" ht="15" customHeight="1">
      <c r="A2" s="1202" t="s">
        <v>610</v>
      </c>
      <c r="B2" s="1200" t="str">
        <f ca="1">Score!$T$1</f>
        <v>Pistolwhippers</v>
      </c>
      <c r="C2" s="1200"/>
      <c r="D2" s="1200"/>
      <c r="E2" s="1207"/>
      <c r="F2" s="1207"/>
      <c r="G2" s="1207"/>
      <c r="H2" s="1199"/>
      <c r="I2" s="1209"/>
    </row>
    <row r="3" spans="1:9" s="19" customFormat="1" ht="15" customHeight="1" thickBot="1">
      <c r="A3" s="1202"/>
      <c r="B3" s="1200"/>
      <c r="C3" s="1200"/>
      <c r="D3" s="1200"/>
      <c r="E3" s="1208" t="s">
        <v>504</v>
      </c>
      <c r="F3" s="1208"/>
      <c r="G3" s="1208"/>
      <c r="H3" s="331" t="s">
        <v>577</v>
      </c>
      <c r="I3" s="332" t="str">
        <f ca="1">IF(Score!$R$2="","",Score!$R$2)</f>
        <v>BOUT 199</v>
      </c>
    </row>
    <row r="4" spans="1:9" s="23" customFormat="1" ht="15" customHeight="1" thickBot="1">
      <c r="A4" s="95"/>
      <c r="B4" s="1212" t="s">
        <v>354</v>
      </c>
      <c r="C4" s="1212"/>
      <c r="D4" s="1212" t="s">
        <v>355</v>
      </c>
      <c r="E4" s="1212"/>
      <c r="F4" s="1212"/>
      <c r="G4" s="96" t="s">
        <v>356</v>
      </c>
      <c r="H4" s="1210" t="s">
        <v>262</v>
      </c>
      <c r="I4" s="1210"/>
    </row>
    <row r="5" spans="1:9" s="23" customFormat="1" ht="21" customHeight="1" thickBot="1">
      <c r="A5" s="97" t="s">
        <v>533</v>
      </c>
      <c r="B5" s="1205"/>
      <c r="C5" s="1205"/>
      <c r="D5" s="1206"/>
      <c r="E5" s="1213"/>
      <c r="F5" s="1214"/>
      <c r="G5" s="1215"/>
      <c r="H5" s="1204" t="str">
        <f>B1</f>
        <v>Detroit Pistoffs</v>
      </c>
      <c r="I5" s="1204"/>
    </row>
    <row r="6" spans="1:9" s="23" customFormat="1" ht="21" customHeight="1" thickBot="1">
      <c r="A6" s="98" t="s">
        <v>376</v>
      </c>
      <c r="B6" s="1211"/>
      <c r="C6" s="1211"/>
      <c r="D6" s="1206"/>
      <c r="E6" s="1213"/>
      <c r="F6" s="1214"/>
      <c r="G6" s="1215"/>
      <c r="H6" s="1204"/>
      <c r="I6" s="1204"/>
    </row>
    <row r="7" spans="1:9" s="23" customFormat="1" ht="21" customHeight="1" thickBot="1">
      <c r="A7" s="97" t="s">
        <v>533</v>
      </c>
      <c r="B7" s="1205"/>
      <c r="C7" s="1205"/>
      <c r="D7" s="1206"/>
      <c r="E7" s="1213"/>
      <c r="F7" s="1214"/>
      <c r="G7" s="1215"/>
      <c r="H7" s="1204" t="str">
        <f>B2</f>
        <v>Pistolwhippers</v>
      </c>
      <c r="I7" s="1204"/>
    </row>
    <row r="8" spans="1:9" s="23" customFormat="1" ht="21" customHeight="1" thickBot="1">
      <c r="A8" s="98" t="s">
        <v>376</v>
      </c>
      <c r="B8" s="1211"/>
      <c r="C8" s="1211"/>
      <c r="D8" s="1206"/>
      <c r="E8" s="1213"/>
      <c r="F8" s="1214"/>
      <c r="G8" s="1215"/>
      <c r="H8" s="1204"/>
      <c r="I8" s="1204"/>
    </row>
    <row r="9" spans="1:9">
      <c r="A9" s="1216" t="s">
        <v>456</v>
      </c>
      <c r="B9" s="1216"/>
      <c r="C9" s="1216"/>
      <c r="D9" s="1216"/>
      <c r="E9" s="1216"/>
      <c r="F9" s="1216"/>
      <c r="G9" s="1216"/>
      <c r="H9" s="1216"/>
      <c r="I9" s="1216"/>
    </row>
    <row r="10" spans="1:9" s="131" customFormat="1" ht="15" customHeight="1">
      <c r="A10" s="128" t="s">
        <v>393</v>
      </c>
      <c r="B10" s="129" t="s">
        <v>457</v>
      </c>
      <c r="C10" s="129" t="s">
        <v>458</v>
      </c>
      <c r="D10" s="129" t="s">
        <v>459</v>
      </c>
      <c r="E10" s="1218" t="s">
        <v>460</v>
      </c>
      <c r="F10" s="1218"/>
      <c r="G10" s="1218"/>
      <c r="H10" s="129" t="s">
        <v>367</v>
      </c>
      <c r="I10" s="130" t="s">
        <v>94</v>
      </c>
    </row>
    <row r="11" spans="1:9" s="25" customFormat="1" ht="21" customHeight="1">
      <c r="A11" s="123">
        <f ca="1">IF(ISNUMBER(SK!B3), SK!A3, "")</f>
        <v>1</v>
      </c>
      <c r="B11" s="124"/>
      <c r="C11" s="125"/>
      <c r="D11" s="125"/>
      <c r="E11" s="1217"/>
      <c r="F11" s="1217"/>
      <c r="G11" s="1217"/>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201"/>
      <c r="F12" s="1201"/>
      <c r="G12" s="1201"/>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203"/>
      <c r="F13" s="1203"/>
      <c r="G13" s="1203"/>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201"/>
      <c r="F14" s="1201"/>
      <c r="G14" s="1201"/>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203"/>
      <c r="F15" s="1203"/>
      <c r="G15" s="1203"/>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201"/>
      <c r="F16" s="1201"/>
      <c r="G16" s="1201"/>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203"/>
      <c r="F17" s="1203"/>
      <c r="G17" s="1203"/>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201"/>
      <c r="F18" s="1201"/>
      <c r="G18" s="1201"/>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203"/>
      <c r="F19" s="1203"/>
      <c r="G19" s="1203"/>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201"/>
      <c r="F20" s="1201"/>
      <c r="G20" s="1201"/>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203"/>
      <c r="F21" s="1203"/>
      <c r="G21" s="1203"/>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201"/>
      <c r="F22" s="1201"/>
      <c r="G22" s="1201"/>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203"/>
      <c r="F23" s="1203"/>
      <c r="G23" s="1203"/>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201"/>
      <c r="F24" s="1201"/>
      <c r="G24" s="1201"/>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203"/>
      <c r="F25" s="1203"/>
      <c r="G25" s="1203"/>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201"/>
      <c r="F26" s="1201"/>
      <c r="G26" s="1201"/>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203"/>
      <c r="F27" s="1203"/>
      <c r="G27" s="1203"/>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201"/>
      <c r="F28" s="1201"/>
      <c r="G28" s="1201"/>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203"/>
      <c r="F29" s="1203"/>
      <c r="G29" s="1203"/>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201"/>
      <c r="F30" s="1201"/>
      <c r="G30" s="1201"/>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203"/>
      <c r="F31" s="1203"/>
      <c r="G31" s="1203"/>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201"/>
      <c r="F32" s="1201"/>
      <c r="G32" s="1201"/>
      <c r="H32" s="108" t="str">
        <f t="shared" si="1"/>
        <v/>
      </c>
      <c r="I32" s="109" t="str">
        <f ca="1">IF(OR(A32="",B32="",B32=0),"",60*SUM(INDIRECT(ADDRESS(MATCH(A32,SK!A$3:A$78,0)+2,COLUMN(SK!E$2),1,,"SK")),INDIRECT(ADDRESS(MATCH(A32,SK!Q$3:Q$78,0)+2,COLUMN(SK!U$2),1,,"SK")))/IF(B32&lt;1,B32*1440,B32))</f>
        <v/>
      </c>
    </row>
    <row r="33" spans="1:9" ht="21" customHeight="1">
      <c r="A33" s="100">
        <f ca="1">IF(ISNUMBER(SK!B47), SK!A47, "")</f>
        <v>23</v>
      </c>
      <c r="B33" s="101"/>
      <c r="C33" s="102"/>
      <c r="D33" s="102"/>
      <c r="E33" s="1203"/>
      <c r="F33" s="1203"/>
      <c r="G33" s="1203"/>
      <c r="H33" s="103" t="str">
        <f t="shared" si="1"/>
        <v/>
      </c>
      <c r="I33" s="104" t="str">
        <f ca="1">IF(OR(A33="",B33="",B33=0),"",60*SUM(INDIRECT(ADDRESS(MATCH(A33,SK!A$3:A$78,0)+2,COLUMN(SK!E$2),1,,"SK")),INDIRECT(ADDRESS(MATCH(A33,SK!Q$3:Q$78,0)+2,COLUMN(SK!U$2),1,,"SK")))/IF(B33&lt;1,B33*1440,B33))</f>
        <v/>
      </c>
    </row>
    <row r="34" spans="1:9" ht="21" customHeight="1">
      <c r="A34" s="105">
        <f ca="1">IF(ISNUMBER(SK!B49), SK!A49, "")</f>
        <v>24</v>
      </c>
      <c r="B34" s="106"/>
      <c r="C34" s="107"/>
      <c r="D34" s="107"/>
      <c r="E34" s="1201"/>
      <c r="F34" s="1201"/>
      <c r="G34" s="1201"/>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203"/>
      <c r="F35" s="1203"/>
      <c r="G35" s="1203"/>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201"/>
      <c r="F36" s="1201"/>
      <c r="G36" s="1201"/>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203"/>
      <c r="F37" s="1203"/>
      <c r="G37" s="1203"/>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201"/>
      <c r="F38" s="1201"/>
      <c r="G38" s="1201"/>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203"/>
      <c r="F39" s="1203"/>
      <c r="G39" s="1203"/>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201"/>
      <c r="F40" s="1201"/>
      <c r="G40" s="1201"/>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203"/>
      <c r="F41" s="1203"/>
      <c r="G41" s="1203"/>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201"/>
      <c r="F42" s="1201"/>
      <c r="G42" s="1201"/>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203"/>
      <c r="F43" s="1203"/>
      <c r="G43" s="1203"/>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201"/>
      <c r="F44" s="1201"/>
      <c r="G44" s="1201"/>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203"/>
      <c r="F45" s="1203"/>
      <c r="G45" s="1203"/>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201"/>
      <c r="F46" s="1201"/>
      <c r="G46" s="1201"/>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203"/>
      <c r="F47" s="1203"/>
      <c r="G47" s="1203"/>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201"/>
      <c r="F48" s="1201"/>
      <c r="G48" s="1201"/>
      <c r="H48" s="108" t="str">
        <f t="shared" si="2"/>
        <v/>
      </c>
      <c r="I48" s="109" t="str">
        <f ca="1">IF(OR(A48="",B48="",B48=0),"",60*SUM(INDIRECT(ADDRESS(MATCH(A48,SK!A$3:A$78,0)+2,COLUMN(SK!E$2),1,,"SK")),INDIRECT(ADDRESS(MATCH(A48,SK!Q$3:Q$78,0)+2,COLUMN(SK!U$2),1,,"SK")))/IF(B48&lt;1,B48*1440,B48))</f>
        <v/>
      </c>
    </row>
    <row r="49" spans="1:9">
      <c r="A49" s="110" t="s">
        <v>95</v>
      </c>
      <c r="B49" s="111"/>
      <c r="C49" s="111" t="s">
        <v>611</v>
      </c>
      <c r="D49" s="111"/>
      <c r="E49" s="111"/>
      <c r="F49" s="111"/>
      <c r="G49" s="111"/>
      <c r="H49" s="111"/>
      <c r="I49" s="112"/>
    </row>
    <row r="50" spans="1:9">
      <c r="A50" s="113" t="s">
        <v>96</v>
      </c>
      <c r="B50" s="114"/>
      <c r="C50" s="114" t="s">
        <v>518</v>
      </c>
      <c r="D50" s="114"/>
      <c r="E50" s="114"/>
      <c r="F50" s="114"/>
      <c r="G50" s="114"/>
      <c r="H50" s="114"/>
      <c r="I50" s="115"/>
    </row>
    <row r="51" spans="1:9" ht="14" thickBot="1">
      <c r="A51" s="116" t="s">
        <v>97</v>
      </c>
      <c r="B51" s="117"/>
      <c r="C51" s="118" t="s">
        <v>519</v>
      </c>
      <c r="D51" s="117"/>
      <c r="E51" s="117"/>
      <c r="F51" s="117"/>
      <c r="G51" s="117"/>
      <c r="H51" s="117"/>
      <c r="I51" s="119"/>
    </row>
    <row r="52" spans="1:9" s="19" customFormat="1" ht="29" customHeight="1">
      <c r="A52" s="132" t="s">
        <v>495</v>
      </c>
      <c r="B52" s="1200" t="str">
        <f ca="1">Score!$A$1</f>
        <v>Detroit Pistoffs</v>
      </c>
      <c r="C52" s="1200"/>
      <c r="D52" s="1200"/>
      <c r="E52" s="1179"/>
      <c r="F52" s="1179"/>
      <c r="G52" s="1179"/>
      <c r="H52" s="1198">
        <f ca="1">IF(ISBLANK(IBRF!$B$5), "", IBRF!$B$5)</f>
        <v>41377</v>
      </c>
      <c r="I52" s="1209">
        <v>2</v>
      </c>
    </row>
    <row r="53" spans="1:9" s="19" customFormat="1" ht="15" customHeight="1">
      <c r="A53" s="1202" t="s">
        <v>610</v>
      </c>
      <c r="B53" s="1200" t="str">
        <f ca="1">Score!$T$1</f>
        <v>Pistolwhippers</v>
      </c>
      <c r="C53" s="1200"/>
      <c r="D53" s="1200"/>
      <c r="E53" s="1207"/>
      <c r="F53" s="1207"/>
      <c r="G53" s="1207"/>
      <c r="H53" s="1199"/>
      <c r="I53" s="1209"/>
    </row>
    <row r="54" spans="1:9" s="19" customFormat="1" ht="15" customHeight="1" thickBot="1">
      <c r="A54" s="1202"/>
      <c r="B54" s="1200"/>
      <c r="C54" s="1200"/>
      <c r="D54" s="1200"/>
      <c r="E54" s="1208" t="s">
        <v>504</v>
      </c>
      <c r="F54" s="1208"/>
      <c r="G54" s="1208"/>
      <c r="H54" s="331" t="s">
        <v>577</v>
      </c>
      <c r="I54" s="332" t="str">
        <f ca="1">IF(Score!$R$2="","",Score!$R$2)</f>
        <v>BOUT 199</v>
      </c>
    </row>
    <row r="55" spans="1:9" s="23" customFormat="1" ht="15" customHeight="1" thickBot="1">
      <c r="A55" s="95"/>
      <c r="B55" s="1212" t="s">
        <v>354</v>
      </c>
      <c r="C55" s="1212"/>
      <c r="D55" s="1212" t="s">
        <v>355</v>
      </c>
      <c r="E55" s="1212"/>
      <c r="F55" s="1212"/>
      <c r="G55" s="96" t="s">
        <v>356</v>
      </c>
      <c r="H55" s="1210" t="s">
        <v>262</v>
      </c>
      <c r="I55" s="1210"/>
    </row>
    <row r="56" spans="1:9" ht="21" customHeight="1" thickBot="1">
      <c r="A56" s="97" t="s">
        <v>533</v>
      </c>
      <c r="B56" s="1219" t="str">
        <f>IF(B5="", "",B5 )</f>
        <v/>
      </c>
      <c r="C56" s="1219"/>
      <c r="D56" s="1206"/>
      <c r="E56" s="1213"/>
      <c r="F56" s="1214"/>
      <c r="G56" s="1215"/>
      <c r="H56" s="1204" t="str">
        <f>H5</f>
        <v>Detroit Pistoffs</v>
      </c>
      <c r="I56" s="1204"/>
    </row>
    <row r="57" spans="1:9" ht="21" customHeight="1" thickBot="1">
      <c r="A57" s="98" t="s">
        <v>376</v>
      </c>
      <c r="B57" s="1220" t="str">
        <f>IF(B6="", "",B6 )</f>
        <v/>
      </c>
      <c r="C57" s="1220"/>
      <c r="D57" s="1206"/>
      <c r="E57" s="1213"/>
      <c r="F57" s="1214"/>
      <c r="G57" s="1215"/>
      <c r="H57" s="1204"/>
      <c r="I57" s="1204"/>
    </row>
    <row r="58" spans="1:9" ht="21" customHeight="1" thickBot="1">
      <c r="A58" s="97" t="s">
        <v>533</v>
      </c>
      <c r="B58" s="1219" t="str">
        <f>IF(B7="", "",B7 )</f>
        <v/>
      </c>
      <c r="C58" s="1219"/>
      <c r="D58" s="1206"/>
      <c r="E58" s="1213"/>
      <c r="F58" s="1214"/>
      <c r="G58" s="1215"/>
      <c r="H58" s="1204" t="str">
        <f>H7</f>
        <v>Pistolwhippers</v>
      </c>
      <c r="I58" s="1204"/>
    </row>
    <row r="59" spans="1:9" ht="21" customHeight="1" thickBot="1">
      <c r="A59" s="98" t="s">
        <v>376</v>
      </c>
      <c r="B59" s="1220" t="str">
        <f>IF(B8="", "",B8 )</f>
        <v/>
      </c>
      <c r="C59" s="1220"/>
      <c r="D59" s="1206"/>
      <c r="E59" s="1213"/>
      <c r="F59" s="1214"/>
      <c r="G59" s="1215"/>
      <c r="H59" s="1204"/>
      <c r="I59" s="1204"/>
    </row>
    <row r="60" spans="1:9" ht="14" thickBot="1">
      <c r="A60" s="1216" t="s">
        <v>456</v>
      </c>
      <c r="B60" s="1216"/>
      <c r="C60" s="1216"/>
      <c r="D60" s="1216"/>
      <c r="E60" s="1216"/>
      <c r="F60" s="1216"/>
      <c r="G60" s="1216"/>
      <c r="H60" s="1216"/>
      <c r="I60" s="1216"/>
    </row>
    <row r="61" spans="1:9" s="23" customFormat="1" ht="15" customHeight="1">
      <c r="A61" s="120" t="s">
        <v>393</v>
      </c>
      <c r="B61" s="121" t="s">
        <v>457</v>
      </c>
      <c r="C61" s="121" t="s">
        <v>458</v>
      </c>
      <c r="D61" s="121" t="s">
        <v>459</v>
      </c>
      <c r="E61" s="1221" t="s">
        <v>460</v>
      </c>
      <c r="F61" s="1221"/>
      <c r="G61" s="1221"/>
      <c r="H61" s="121" t="s">
        <v>367</v>
      </c>
      <c r="I61" s="122" t="s">
        <v>94</v>
      </c>
    </row>
    <row r="62" spans="1:9" ht="21" customHeight="1">
      <c r="A62" s="100">
        <f ca="1">IF(ISNUMBER(SK!B88), SK!A88, "")</f>
        <v>1</v>
      </c>
      <c r="B62" s="101"/>
      <c r="C62" s="102"/>
      <c r="D62" s="102"/>
      <c r="E62" s="1203"/>
      <c r="F62" s="1203"/>
      <c r="G62" s="1203"/>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201"/>
      <c r="F63" s="1201"/>
      <c r="G63" s="1201"/>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203"/>
      <c r="F64" s="1203"/>
      <c r="G64" s="1203"/>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201"/>
      <c r="F65" s="1201"/>
      <c r="G65" s="1201"/>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203"/>
      <c r="F66" s="1203"/>
      <c r="G66" s="1203"/>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201"/>
      <c r="F67" s="1201"/>
      <c r="G67" s="1201"/>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203"/>
      <c r="F68" s="1203"/>
      <c r="G68" s="1203"/>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201"/>
      <c r="F69" s="1201"/>
      <c r="G69" s="1201"/>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203"/>
      <c r="F70" s="1203"/>
      <c r="G70" s="1203"/>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201"/>
      <c r="F71" s="1201"/>
      <c r="G71" s="1201"/>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203"/>
      <c r="F72" s="1203"/>
      <c r="G72" s="1203"/>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201"/>
      <c r="F73" s="1201"/>
      <c r="G73" s="1201"/>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203"/>
      <c r="F74" s="1203"/>
      <c r="G74" s="1203"/>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201"/>
      <c r="F75" s="1201"/>
      <c r="G75" s="1201"/>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203"/>
      <c r="F76" s="1203"/>
      <c r="G76" s="1203"/>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201"/>
      <c r="F77" s="1201"/>
      <c r="G77" s="1201"/>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203"/>
      <c r="F78" s="1203"/>
      <c r="G78" s="1203"/>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201"/>
      <c r="F79" s="1201"/>
      <c r="G79" s="1201"/>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203"/>
      <c r="F80" s="1203"/>
      <c r="G80" s="1203"/>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201"/>
      <c r="F81" s="1201"/>
      <c r="G81" s="1201"/>
      <c r="H81" s="108" t="str">
        <f t="shared" si="3"/>
        <v/>
      </c>
      <c r="I81" s="109" t="str">
        <f ca="1">IF(OR(A81="",B81="",B81=0),"",60*SUM(INDIRECT(ADDRESS(MATCH(A81,SK!A$88:A$162,0)+87,COLUMN(SK!E$2),1,,"SK")),INDIRECT(ADDRESS(MATCH(A81,SK!Q$88:Q$162,0)+87,COLUMN(SK!U$2),1,,"SK")))/IF(B81&lt;1,B81*1440,B81))</f>
        <v/>
      </c>
    </row>
    <row r="82" spans="1:9" ht="21" customHeight="1">
      <c r="A82" s="100" t="str">
        <f ca="1">IF(ISNUMBER(SK!B128), SK!A128, "")</f>
        <v/>
      </c>
      <c r="B82" s="101"/>
      <c r="C82" s="102"/>
      <c r="D82" s="102"/>
      <c r="E82" s="1203"/>
      <c r="F82" s="1203"/>
      <c r="G82" s="1203"/>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201"/>
      <c r="F83" s="1201"/>
      <c r="G83" s="1201"/>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203"/>
      <c r="F84" s="1203"/>
      <c r="G84" s="1203"/>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201"/>
      <c r="F85" s="1201"/>
      <c r="G85" s="1201"/>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203"/>
      <c r="F86" s="1203"/>
      <c r="G86" s="1203"/>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201"/>
      <c r="F87" s="1201"/>
      <c r="G87" s="1201"/>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203"/>
      <c r="F88" s="1203"/>
      <c r="G88" s="1203"/>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201"/>
      <c r="F89" s="1201"/>
      <c r="G89" s="1201"/>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203"/>
      <c r="F90" s="1203"/>
      <c r="G90" s="1203"/>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201"/>
      <c r="F91" s="1201"/>
      <c r="G91" s="1201"/>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203"/>
      <c r="F92" s="1203"/>
      <c r="G92" s="1203"/>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201"/>
      <c r="F93" s="1201"/>
      <c r="G93" s="1201"/>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203"/>
      <c r="F94" s="1203"/>
      <c r="G94" s="1203"/>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201"/>
      <c r="F95" s="1201"/>
      <c r="G95" s="1201"/>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203"/>
      <c r="F96" s="1203"/>
      <c r="G96" s="1203"/>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201"/>
      <c r="F97" s="1201"/>
      <c r="G97" s="1201"/>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203"/>
      <c r="F98" s="1203"/>
      <c r="G98" s="1203"/>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201"/>
      <c r="F99" s="1201"/>
      <c r="G99" s="1201"/>
      <c r="H99" s="108" t="str">
        <f t="shared" si="4"/>
        <v/>
      </c>
      <c r="I99" s="109" t="str">
        <f ca="1">IF(OR(A99="",B99="",B99=0),"",60*SUM(INDIRECT(ADDRESS(MATCH(A99,SK!A$88:A$162,0)+87,COLUMN(SK!E$2),1,,"SK")),INDIRECT(ADDRESS(MATCH(A99,SK!Q$88:Q$162,0)+87,COLUMN(SK!U$2),1,,"SK")))/IF(B99&lt;1,B99*1440,B99))</f>
        <v/>
      </c>
    </row>
    <row r="100" spans="1:9">
      <c r="A100" s="110" t="s">
        <v>95</v>
      </c>
      <c r="B100" s="111"/>
      <c r="C100" s="111" t="s">
        <v>611</v>
      </c>
      <c r="D100" s="111"/>
      <c r="E100" s="111"/>
      <c r="F100" s="111"/>
      <c r="G100" s="111"/>
      <c r="H100" s="111"/>
      <c r="I100" s="112"/>
    </row>
    <row r="101" spans="1:9">
      <c r="A101" s="113" t="s">
        <v>96</v>
      </c>
      <c r="B101" s="114"/>
      <c r="C101" s="114" t="s">
        <v>518</v>
      </c>
      <c r="D101" s="114"/>
      <c r="E101" s="114"/>
      <c r="F101" s="114"/>
      <c r="G101" s="114"/>
      <c r="H101" s="114"/>
      <c r="I101" s="115"/>
    </row>
    <row r="102" spans="1:9" ht="14" thickBot="1">
      <c r="A102" s="116" t="s">
        <v>97</v>
      </c>
      <c r="B102" s="117"/>
      <c r="C102" s="118" t="s">
        <v>519</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22" t="str">
        <f ca="1">Score!$A$1</f>
        <v>Detroit Pistoffs</v>
      </c>
      <c r="B1" s="1222"/>
      <c r="C1" s="1222"/>
      <c r="D1" s="1222"/>
      <c r="E1" s="1222"/>
      <c r="F1" s="1222"/>
      <c r="G1" s="1224" t="str">
        <f ca="1">IF(ISBLANK(Score!$I$1), "", Score!$I$1)</f>
        <v>Blue</v>
      </c>
      <c r="H1" s="1224"/>
      <c r="I1" s="1225">
        <f ca="1">IF(ISBLANK(IBRF!$B$5), "", IBRF!$B$5)</f>
        <v>41377</v>
      </c>
      <c r="J1" s="1225"/>
      <c r="K1" s="1177"/>
      <c r="L1" s="1177"/>
      <c r="M1" s="1177"/>
      <c r="N1" s="1177"/>
      <c r="O1" s="1177"/>
      <c r="P1" s="1177"/>
    </row>
    <row r="2" spans="1:16" ht="15" customHeight="1" thickBot="1">
      <c r="A2" s="1223"/>
      <c r="B2" s="1223"/>
      <c r="C2" s="1223"/>
      <c r="D2" s="1223"/>
      <c r="E2" s="1223"/>
      <c r="F2" s="1223"/>
      <c r="G2" s="1226" t="s">
        <v>472</v>
      </c>
      <c r="H2" s="1226"/>
      <c r="I2" s="1227" t="s">
        <v>577</v>
      </c>
      <c r="J2" s="1227"/>
      <c r="K2" s="1178" t="s">
        <v>503</v>
      </c>
      <c r="L2" s="1178"/>
      <c r="M2" s="1178"/>
      <c r="N2" s="1178"/>
      <c r="O2" s="1178"/>
      <c r="P2" s="460" t="str">
        <f ca="1">IF(Score!$R$2="","",Score!$R$2)</f>
        <v>BOUT 199</v>
      </c>
    </row>
    <row r="3" spans="1:16" s="99" customFormat="1" ht="15" customHeight="1" thickBot="1">
      <c r="A3" s="133" t="s">
        <v>338</v>
      </c>
      <c r="B3" s="134" t="s">
        <v>12</v>
      </c>
      <c r="C3" s="134" t="s">
        <v>98</v>
      </c>
      <c r="D3" s="134" t="s">
        <v>264</v>
      </c>
      <c r="E3" s="134" t="s">
        <v>7</v>
      </c>
      <c r="F3" s="134" t="s">
        <v>8</v>
      </c>
      <c r="G3" s="134" t="s">
        <v>9</v>
      </c>
      <c r="H3" s="134" t="s">
        <v>10</v>
      </c>
      <c r="I3" s="1229" t="s">
        <v>11</v>
      </c>
      <c r="J3" s="1229"/>
      <c r="K3" s="1230"/>
      <c r="L3" s="135"/>
      <c r="M3" s="1228" t="s">
        <v>12</v>
      </c>
      <c r="N3" s="1228"/>
      <c r="P3" s="136" t="s">
        <v>353</v>
      </c>
    </row>
    <row r="4" spans="1:16" ht="23.5" customHeight="1">
      <c r="A4" s="137"/>
      <c r="B4" s="138"/>
      <c r="C4" s="125"/>
      <c r="D4" s="139"/>
      <c r="E4" s="125"/>
      <c r="F4" s="138"/>
      <c r="G4" s="138"/>
      <c r="H4" s="138"/>
      <c r="I4" s="125"/>
      <c r="J4" s="125"/>
      <c r="K4" s="140"/>
      <c r="L4" s="141"/>
      <c r="M4" s="142">
        <v>1</v>
      </c>
      <c r="N4" s="142">
        <f t="shared" ref="N4:N28" si="0">M4</f>
        <v>1</v>
      </c>
      <c r="P4" s="143" t="str">
        <f ca="1">IF(IBRF!B11="","",IBRF!B11)</f>
        <v>138</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181</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1821</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187</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1879</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20</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20KN</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212</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33 1/3</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428</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6</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728</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80</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9.99</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F14</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31" t="s">
        <v>465</v>
      </c>
      <c r="B44" s="1232"/>
      <c r="C44" s="1232"/>
      <c r="D44" s="1232"/>
      <c r="E44" s="1232"/>
      <c r="F44" s="1232"/>
      <c r="G44" s="1232"/>
      <c r="H44" s="1232"/>
      <c r="I44" s="1232"/>
      <c r="J44" s="1232"/>
      <c r="K44" s="1232"/>
      <c r="L44" s="1232"/>
      <c r="M44" s="1232"/>
      <c r="N44" s="1232"/>
      <c r="O44" s="1232"/>
      <c r="P44" s="1233"/>
    </row>
    <row r="45" spans="1:16" s="149" customFormat="1" ht="30" customHeight="1">
      <c r="A45" s="1222" t="str">
        <f ca="1">Score!$T$1</f>
        <v>Pistolwhippers</v>
      </c>
      <c r="B45" s="1222"/>
      <c r="C45" s="1222"/>
      <c r="D45" s="1222"/>
      <c r="E45" s="1222"/>
      <c r="F45" s="1222"/>
      <c r="G45" s="1224" t="str">
        <f ca="1">IF(ISBLANK(Score!$AB$1),"",Score!$AB$1)</f>
        <v>Red</v>
      </c>
      <c r="H45" s="1224"/>
      <c r="I45" s="1225">
        <f ca="1">IF(ISBLANK(IBRF!$B$5), "", IBRF!$B$5)</f>
        <v>41377</v>
      </c>
      <c r="J45" s="1225"/>
      <c r="K45" s="1177"/>
      <c r="L45" s="1177"/>
      <c r="M45" s="1177"/>
      <c r="N45" s="1177"/>
      <c r="O45" s="1177"/>
      <c r="P45" s="1177"/>
    </row>
    <row r="46" spans="1:16" ht="15" customHeight="1" thickBot="1">
      <c r="A46" s="1223"/>
      <c r="B46" s="1223"/>
      <c r="C46" s="1223"/>
      <c r="D46" s="1223"/>
      <c r="E46" s="1223"/>
      <c r="F46" s="1223"/>
      <c r="G46" s="1226" t="s">
        <v>472</v>
      </c>
      <c r="H46" s="1226"/>
      <c r="I46" s="1227" t="s">
        <v>577</v>
      </c>
      <c r="J46" s="1227"/>
      <c r="K46" s="1178" t="s">
        <v>503</v>
      </c>
      <c r="L46" s="1178"/>
      <c r="M46" s="1178"/>
      <c r="N46" s="1178"/>
      <c r="O46" s="1178"/>
      <c r="P46" s="460" t="str">
        <f ca="1">IF(Score!$R$2="","",Score!$R$2)</f>
        <v>BOUT 199</v>
      </c>
    </row>
    <row r="47" spans="1:16" s="99" customFormat="1" ht="15" customHeight="1" thickBot="1">
      <c r="A47" s="133" t="s">
        <v>338</v>
      </c>
      <c r="B47" s="134" t="s">
        <v>12</v>
      </c>
      <c r="C47" s="134" t="s">
        <v>98</v>
      </c>
      <c r="D47" s="134" t="s">
        <v>264</v>
      </c>
      <c r="E47" s="134" t="s">
        <v>7</v>
      </c>
      <c r="F47" s="134" t="s">
        <v>8</v>
      </c>
      <c r="G47" s="134" t="s">
        <v>9</v>
      </c>
      <c r="H47" s="134" t="s">
        <v>10</v>
      </c>
      <c r="I47" s="1229" t="s">
        <v>11</v>
      </c>
      <c r="J47" s="1229"/>
      <c r="K47" s="1230"/>
      <c r="L47" s="135"/>
      <c r="M47" s="1228" t="s">
        <v>12</v>
      </c>
      <c r="N47" s="1228"/>
      <c r="P47" s="136" t="s">
        <v>353</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182</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2¢</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24/7</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27</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38DD</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42</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50</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620</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7</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72</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9.81</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I-75</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N2O</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W00T</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Z28</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31" t="s">
        <v>465</v>
      </c>
      <c r="B88" s="1232"/>
      <c r="C88" s="1232"/>
      <c r="D88" s="1232"/>
      <c r="E88" s="1232"/>
      <c r="F88" s="1232"/>
      <c r="G88" s="1232"/>
      <c r="H88" s="1232"/>
      <c r="I88" s="1232"/>
      <c r="J88" s="1232"/>
      <c r="K88" s="1232"/>
      <c r="L88" s="1232"/>
      <c r="M88" s="1232"/>
      <c r="N88" s="1232"/>
      <c r="O88" s="1232"/>
      <c r="P88" s="1233"/>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34" t="str">
        <f ca="1">Score!$A$1</f>
        <v>Detroit Pistoffs</v>
      </c>
      <c r="C2" s="1234"/>
      <c r="D2" s="288"/>
      <c r="F2" s="287"/>
      <c r="G2" s="1234" t="str">
        <f ca="1">Score!$T$1</f>
        <v>Pistolwhippers</v>
      </c>
      <c r="H2" s="1234"/>
      <c r="I2" s="288"/>
      <c r="K2" s="1235" t="s">
        <v>13</v>
      </c>
      <c r="L2" s="1235"/>
    </row>
    <row r="3" spans="1:12" ht="11.25" customHeight="1">
      <c r="A3" s="287"/>
      <c r="B3" s="289"/>
      <c r="C3" s="289"/>
      <c r="D3" s="288"/>
      <c r="F3" s="287"/>
      <c r="G3" s="289"/>
      <c r="H3" s="289"/>
      <c r="I3" s="288"/>
    </row>
    <row r="4" spans="1:12" ht="21" customHeight="1">
      <c r="A4" s="287"/>
      <c r="B4" s="290" t="str">
        <f ca="1">IF(ISBLANK(IBRF!B11),"",IBRF!B11)</f>
        <v>138</v>
      </c>
      <c r="C4" s="291" t="str">
        <f ca="1">IF(ISBLANK(IBRF!C11),"",IBRF!C11)</f>
        <v>Mag Pie</v>
      </c>
      <c r="D4" s="288"/>
      <c r="F4" s="287"/>
      <c r="G4" s="290" t="str">
        <f ca="1">IF(ISBLANK(IBRF!H11),"",IBRF!H11)</f>
        <v>182</v>
      </c>
      <c r="H4" s="291" t="str">
        <f ca="1">IF(ISBLANK(IBRF!I11),"",IBRF!I11)</f>
        <v>Travis Blocker</v>
      </c>
      <c r="I4" s="288"/>
      <c r="K4" s="286" t="s">
        <v>14</v>
      </c>
      <c r="L4" s="292" t="s">
        <v>527</v>
      </c>
    </row>
    <row r="5" spans="1:12" ht="21" customHeight="1">
      <c r="A5" s="287"/>
      <c r="B5" s="290" t="str">
        <f ca="1">IF(ISBLANK(IBRF!B12),"",IBRF!B12)</f>
        <v>181</v>
      </c>
      <c r="C5" s="291" t="str">
        <f ca="1">IF(ISBLANK(IBRF!C12),"",IBRF!C12)</f>
        <v>Vega Vendetta</v>
      </c>
      <c r="D5" s="288"/>
      <c r="F5" s="287"/>
      <c r="G5" s="290" t="str">
        <f ca="1">IF(ISBLANK(IBRF!H12),"",IBRF!H12)</f>
        <v>2¢</v>
      </c>
      <c r="H5" s="291" t="str">
        <f ca="1">IF(ISBLANK(IBRF!I12),"",IBRF!I12)</f>
        <v>Vera Toss</v>
      </c>
      <c r="I5" s="288"/>
      <c r="K5" s="286" t="s">
        <v>15</v>
      </c>
      <c r="L5" s="292" t="s">
        <v>529</v>
      </c>
    </row>
    <row r="6" spans="1:12" ht="21" customHeight="1">
      <c r="A6" s="287"/>
      <c r="B6" s="290" t="str">
        <f ca="1">IF(ISBLANK(IBRF!B13),"",IBRF!B13)</f>
        <v>1821</v>
      </c>
      <c r="C6" s="291" t="str">
        <f ca="1">IF(ISBLANK(IBRF!C13),"",IBRF!C13)</f>
        <v>Mexi-Go</v>
      </c>
      <c r="D6" s="288"/>
      <c r="F6" s="287"/>
      <c r="G6" s="290" t="str">
        <f ca="1">IF(ISBLANK(IBRF!H13),"",IBRF!H13)</f>
        <v>24/7</v>
      </c>
      <c r="H6" s="291" t="str">
        <f ca="1">IF(ISBLANK(IBRF!I13),"",IBRF!I13)</f>
        <v>boo d. livers</v>
      </c>
      <c r="I6" s="288"/>
      <c r="K6" s="286" t="s">
        <v>16</v>
      </c>
      <c r="L6" s="292" t="s">
        <v>531</v>
      </c>
    </row>
    <row r="7" spans="1:12" ht="21" customHeight="1">
      <c r="A7" s="287"/>
      <c r="B7" s="290" t="str">
        <f ca="1">IF(ISBLANK(IBRF!B14),"",IBRF!B14)</f>
        <v>187</v>
      </c>
      <c r="C7" s="291" t="str">
        <f ca="1">IF(ISBLANK(IBRF!C14),"",IBRF!C14)</f>
        <v>VeroniKILL</v>
      </c>
      <c r="D7" s="288"/>
      <c r="F7" s="287"/>
      <c r="G7" s="290" t="str">
        <f ca="1">IF(ISBLANK(IBRF!H14),"",IBRF!H14)</f>
        <v>27</v>
      </c>
      <c r="H7" s="291" t="str">
        <f ca="1">IF(ISBLANK(IBRF!I14),"",IBRF!I14)</f>
        <v>A.O. Lesgo</v>
      </c>
      <c r="I7" s="288"/>
      <c r="K7" s="286" t="s">
        <v>102</v>
      </c>
      <c r="L7" s="292" t="s">
        <v>533</v>
      </c>
    </row>
    <row r="8" spans="1:12" ht="21" customHeight="1">
      <c r="A8" s="287"/>
      <c r="B8" s="290" t="str">
        <f ca="1">IF(ISBLANK(IBRF!B15),"",IBRF!B15)</f>
        <v>1879</v>
      </c>
      <c r="C8" s="291" t="str">
        <f ca="1">IF(ISBLANK(IBRF!C15),"",IBRF!C15)</f>
        <v>Belle Isle Hurtya</v>
      </c>
      <c r="D8" s="288"/>
      <c r="F8" s="287"/>
      <c r="G8" s="290" t="str">
        <f ca="1">IF(ISBLANK(IBRF!H15),"",IBRF!H15)</f>
        <v>38DD</v>
      </c>
      <c r="H8" s="291" t="str">
        <f ca="1">IF(ISBLANK(IBRF!I15),"",IBRF!I15)</f>
        <v>Tig O' Hitties</v>
      </c>
      <c r="I8" s="288"/>
      <c r="K8" s="286" t="s">
        <v>373</v>
      </c>
      <c r="L8" s="292" t="s">
        <v>372</v>
      </c>
    </row>
    <row r="9" spans="1:12" ht="21" customHeight="1">
      <c r="A9" s="287"/>
      <c r="B9" s="290" t="str">
        <f ca="1">IF(ISBLANK(IBRF!B16),"",IBRF!B16)</f>
        <v>20</v>
      </c>
      <c r="C9" s="291" t="str">
        <f ca="1">IF(ISBLANK(IBRF!C16),"",IBRF!C16)</f>
        <v>Devil Kitty</v>
      </c>
      <c r="D9" s="288"/>
      <c r="F9" s="287"/>
      <c r="G9" s="290" t="str">
        <f ca="1">IF(ISBLANK(IBRF!H16),"",IBRF!H16)</f>
        <v>42</v>
      </c>
      <c r="H9" s="291" t="str">
        <f ca="1">IF(ISBLANK(IBRF!I16),"",IBRF!I16)</f>
        <v>Midnite Vulture</v>
      </c>
      <c r="I9" s="288"/>
      <c r="K9" s="286" t="s">
        <v>17</v>
      </c>
      <c r="L9" s="292" t="s">
        <v>374</v>
      </c>
    </row>
    <row r="10" spans="1:12" ht="21" customHeight="1">
      <c r="A10" s="287"/>
      <c r="B10" s="290" t="str">
        <f ca="1">IF(ISBLANK(IBRF!B17),"",IBRF!B17)</f>
        <v>20KN</v>
      </c>
      <c r="C10" s="291" t="str">
        <f ca="1">IF(ISBLANK(IBRF!C17),"",IBRF!C17)</f>
        <v>Kraken Whips</v>
      </c>
      <c r="D10" s="288"/>
      <c r="F10" s="287"/>
      <c r="G10" s="290" t="str">
        <f ca="1">IF(ISBLANK(IBRF!H17),"",IBRF!H17)</f>
        <v>50</v>
      </c>
      <c r="H10" s="291" t="str">
        <f ca="1">IF(ISBLANK(IBRF!I17),"",IBRF!I17)</f>
        <v>Sam-I-Slam</v>
      </c>
      <c r="I10" s="288"/>
      <c r="K10" s="286" t="s">
        <v>377</v>
      </c>
      <c r="L10" s="292" t="s">
        <v>376</v>
      </c>
    </row>
    <row r="11" spans="1:12" ht="21" customHeight="1">
      <c r="A11" s="287"/>
      <c r="B11" s="290" t="str">
        <f ca="1">IF(ISBLANK(IBRF!B18),"",IBRF!B18)</f>
        <v>212</v>
      </c>
      <c r="C11" s="291" t="str">
        <f ca="1">IF(ISBLANK(IBRF!C18),"",IBRF!C18)</f>
        <v>Wham!tramck</v>
      </c>
      <c r="D11" s="288"/>
      <c r="F11" s="287"/>
      <c r="G11" s="290" t="str">
        <f ca="1">IF(ISBLANK(IBRF!H18),"",IBRF!H18)</f>
        <v>620</v>
      </c>
      <c r="H11" s="291" t="str">
        <f ca="1">IF(ISBLANK(IBRF!I18),"",IBRF!I18)</f>
        <v>Lazer Beam</v>
      </c>
      <c r="I11" s="288"/>
      <c r="K11" s="286" t="s">
        <v>104</v>
      </c>
      <c r="L11" s="292" t="s">
        <v>378</v>
      </c>
    </row>
    <row r="12" spans="1:12" ht="21" customHeight="1">
      <c r="A12" s="287"/>
      <c r="B12" s="290" t="str">
        <f ca="1">IF(ISBLANK(IBRF!B19),"",IBRF!B19)</f>
        <v>33 1/3</v>
      </c>
      <c r="C12" s="291" t="str">
        <f ca="1">IF(ISBLANK(IBRF!C19),"",IBRF!C19)</f>
        <v>Cookie Rumble</v>
      </c>
      <c r="D12" s="288"/>
      <c r="F12" s="287"/>
      <c r="G12" s="290" t="str">
        <f ca="1">IF(ISBLANK(IBRF!H19),"",IBRF!H19)</f>
        <v>7</v>
      </c>
      <c r="H12" s="291" t="str">
        <f ca="1">IF(ISBLANK(IBRF!I19),"",IBRF!I19)</f>
        <v>CottonCandy Princess</v>
      </c>
      <c r="I12" s="288"/>
      <c r="K12" s="286" t="s">
        <v>462</v>
      </c>
      <c r="L12" s="292" t="s">
        <v>461</v>
      </c>
    </row>
    <row r="13" spans="1:12" ht="21" customHeight="1">
      <c r="A13" s="287"/>
      <c r="B13" s="290" t="str">
        <f ca="1">IF(ISBLANK(IBRF!B20),"",IBRF!B20)</f>
        <v>428</v>
      </c>
      <c r="C13" s="291" t="str">
        <f ca="1">IF(ISBLANK(IBRF!C20),"",IBRF!C20)</f>
        <v>Freakin' Rican</v>
      </c>
      <c r="D13" s="288"/>
      <c r="F13" s="287"/>
      <c r="G13" s="290" t="str">
        <f ca="1">IF(ISBLANK(IBRF!H20),"",IBRF!H20)</f>
        <v>72</v>
      </c>
      <c r="H13" s="291" t="str">
        <f ca="1">IF(ISBLANK(IBRF!I20),"",IBRF!I20)</f>
        <v>Demonica Mars</v>
      </c>
      <c r="I13" s="288"/>
      <c r="K13" s="286" t="s">
        <v>18</v>
      </c>
      <c r="L13" s="292" t="s">
        <v>463</v>
      </c>
    </row>
    <row r="14" spans="1:12" ht="21" customHeight="1">
      <c r="A14" s="287"/>
      <c r="B14" s="290" t="str">
        <f ca="1">IF(ISBLANK(IBRF!B21),"",IBRF!B21)</f>
        <v>6</v>
      </c>
      <c r="C14" s="291" t="str">
        <f ca="1">IF(ISBLANK(IBRF!C21),"",IBRF!C21)</f>
        <v>Elle McFearsome</v>
      </c>
      <c r="D14" s="288"/>
      <c r="F14" s="287"/>
      <c r="G14" s="290" t="str">
        <f ca="1">IF(ISBLANK(IBRF!H21),"",IBRF!H21)</f>
        <v>9.81</v>
      </c>
      <c r="H14" s="291" t="str">
        <f ca="1">IF(ISBLANK(IBRF!I21),"",IBRF!I21)</f>
        <v>Uhura Belle Death</v>
      </c>
      <c r="I14" s="288"/>
      <c r="K14" s="286" t="s">
        <v>19</v>
      </c>
      <c r="L14" s="292" t="s">
        <v>368</v>
      </c>
    </row>
    <row r="15" spans="1:12" ht="21" customHeight="1">
      <c r="A15" s="287"/>
      <c r="B15" s="290" t="str">
        <f ca="1">IF(ISBLANK(IBRF!B22),"",IBRF!B22)</f>
        <v>728</v>
      </c>
      <c r="C15" s="291" t="str">
        <f ca="1">IF(ISBLANK(IBRF!C22),"",IBRF!C22)</f>
        <v>Combat Cat</v>
      </c>
      <c r="D15" s="288"/>
      <c r="F15" s="287"/>
      <c r="G15" s="290" t="str">
        <f ca="1">IF(ISBLANK(IBRF!H22),"",IBRF!H22)</f>
        <v>I-75</v>
      </c>
      <c r="H15" s="291" t="str">
        <f ca="1">IF(ISBLANK(IBRF!I22),"",IBRF!I22)</f>
        <v>Diesel Doll</v>
      </c>
      <c r="I15" s="288"/>
      <c r="K15" s="286" t="s">
        <v>242</v>
      </c>
      <c r="L15" s="292" t="s">
        <v>370</v>
      </c>
    </row>
    <row r="16" spans="1:12" ht="21" customHeight="1">
      <c r="A16" s="287"/>
      <c r="B16" s="290" t="str">
        <f ca="1">IF(ISBLANK(IBRF!B23),"",IBRF!B23)</f>
        <v>80</v>
      </c>
      <c r="C16" s="291" t="str">
        <f ca="1">IF(ISBLANK(IBRF!C23),"",IBRF!C23)</f>
        <v>Mean Streak</v>
      </c>
      <c r="D16" s="288"/>
      <c r="F16" s="287"/>
      <c r="G16" s="290" t="str">
        <f ca="1">IF(ISBLANK(IBRF!H23),"",IBRF!H23)</f>
        <v>N2O</v>
      </c>
      <c r="H16" s="291" t="str">
        <f ca="1">IF(ISBLANK(IBRF!I23),"",IBRF!I23)</f>
        <v>Cool Whip</v>
      </c>
      <c r="I16" s="288"/>
      <c r="K16" s="286" t="s">
        <v>20</v>
      </c>
      <c r="L16" s="292" t="s">
        <v>243</v>
      </c>
    </row>
    <row r="17" spans="1:12" ht="21" customHeight="1">
      <c r="A17" s="287"/>
      <c r="B17" s="290" t="str">
        <f ca="1">IF(ISBLANK(IBRF!B24),"",IBRF!B24)</f>
        <v>9.99</v>
      </c>
      <c r="C17" s="291" t="str">
        <f ca="1">IF(ISBLANK(IBRF!C24),"",IBRF!C24)</f>
        <v>U.S.S. DentHerPrize</v>
      </c>
      <c r="D17" s="288"/>
      <c r="F17" s="287"/>
      <c r="G17" s="290" t="str">
        <f ca="1">IF(ISBLANK(IBRF!H24),"",IBRF!H24)</f>
        <v>W00T</v>
      </c>
      <c r="H17" s="291" t="str">
        <f ca="1">IF(ISBLANK(IBRF!I24),"",IBRF!I24)</f>
        <v>Genniferal</v>
      </c>
      <c r="I17" s="288"/>
      <c r="K17" s="286" t="s">
        <v>105</v>
      </c>
      <c r="L17" s="292" t="s">
        <v>246</v>
      </c>
    </row>
    <row r="18" spans="1:12" ht="21" customHeight="1">
      <c r="A18" s="287"/>
      <c r="B18" s="290" t="str">
        <f ca="1">IF(ISBLANK(IBRF!B25),"",IBRF!B25)</f>
        <v>F14</v>
      </c>
      <c r="C18" s="291" t="str">
        <f ca="1">IF(ISBLANK(IBRF!C25),"",IBRF!C25)</f>
        <v>Apertorture</v>
      </c>
      <c r="D18" s="288"/>
      <c r="F18" s="287"/>
      <c r="G18" s="290" t="str">
        <f ca="1">IF(ISBLANK(IBRF!H25),"",IBRF!H25)</f>
        <v>Z28</v>
      </c>
      <c r="H18" s="291" t="str">
        <f ca="1">IF(ISBLANK(IBRF!I25),"",IBRF!I25)</f>
        <v>V8 Nightmare</v>
      </c>
      <c r="I18" s="288"/>
      <c r="K18" s="286" t="s">
        <v>516</v>
      </c>
      <c r="L18" s="292" t="s">
        <v>517</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185</v>
      </c>
      <c r="L19" s="292" t="s">
        <v>248</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34" t="str">
        <f>B2</f>
        <v>Detroit Pistoffs</v>
      </c>
      <c r="C26" s="1234"/>
      <c r="D26" s="288"/>
      <c r="F26" s="287"/>
      <c r="G26" s="1234" t="str">
        <f>G2</f>
        <v>Pistolwhippers</v>
      </c>
      <c r="H26" s="1234"/>
      <c r="I26" s="288"/>
      <c r="K26" s="1235" t="s">
        <v>13</v>
      </c>
      <c r="L26" s="1235"/>
    </row>
    <row r="27" spans="1:12" ht="11.25" customHeight="1">
      <c r="A27" s="287"/>
      <c r="B27" s="289"/>
      <c r="C27" s="289"/>
      <c r="D27" s="288"/>
      <c r="F27" s="287"/>
      <c r="G27" s="289"/>
      <c r="H27" s="289"/>
      <c r="I27" s="288"/>
    </row>
    <row r="28" spans="1:12" ht="21" customHeight="1">
      <c r="A28" s="287"/>
      <c r="B28" s="290" t="str">
        <f t="shared" ref="B28:C47" si="0">B4</f>
        <v>138</v>
      </c>
      <c r="C28" s="291" t="str">
        <f t="shared" si="0"/>
        <v>Mag Pie</v>
      </c>
      <c r="D28" s="288"/>
      <c r="F28" s="287"/>
      <c r="G28" s="290" t="str">
        <f t="shared" ref="G28:H47" si="1">G4</f>
        <v>182</v>
      </c>
      <c r="H28" s="291" t="str">
        <f t="shared" si="1"/>
        <v>Travis Blocker</v>
      </c>
      <c r="I28" s="288"/>
      <c r="K28" s="286" t="s">
        <v>14</v>
      </c>
      <c r="L28" s="292" t="s">
        <v>527</v>
      </c>
    </row>
    <row r="29" spans="1:12" ht="21" customHeight="1">
      <c r="A29" s="287"/>
      <c r="B29" s="290" t="str">
        <f t="shared" si="0"/>
        <v>181</v>
      </c>
      <c r="C29" s="291" t="str">
        <f t="shared" si="0"/>
        <v>Vega Vendetta</v>
      </c>
      <c r="D29" s="288"/>
      <c r="F29" s="287"/>
      <c r="G29" s="290" t="str">
        <f t="shared" si="1"/>
        <v>2¢</v>
      </c>
      <c r="H29" s="291" t="str">
        <f t="shared" si="1"/>
        <v>Vera Toss</v>
      </c>
      <c r="I29" s="288"/>
      <c r="K29" s="286" t="s">
        <v>15</v>
      </c>
      <c r="L29" s="292" t="s">
        <v>529</v>
      </c>
    </row>
    <row r="30" spans="1:12" ht="21" customHeight="1">
      <c r="A30" s="287"/>
      <c r="B30" s="290" t="str">
        <f t="shared" si="0"/>
        <v>1821</v>
      </c>
      <c r="C30" s="291" t="str">
        <f t="shared" si="0"/>
        <v>Mexi-Go</v>
      </c>
      <c r="D30" s="288"/>
      <c r="F30" s="287"/>
      <c r="G30" s="290" t="str">
        <f t="shared" si="1"/>
        <v>24/7</v>
      </c>
      <c r="H30" s="291" t="str">
        <f t="shared" si="1"/>
        <v>boo d. livers</v>
      </c>
      <c r="I30" s="288"/>
      <c r="K30" s="286" t="s">
        <v>16</v>
      </c>
      <c r="L30" s="292" t="s">
        <v>531</v>
      </c>
    </row>
    <row r="31" spans="1:12" ht="21" customHeight="1">
      <c r="A31" s="287"/>
      <c r="B31" s="290" t="str">
        <f t="shared" si="0"/>
        <v>187</v>
      </c>
      <c r="C31" s="291" t="str">
        <f t="shared" si="0"/>
        <v>VeroniKILL</v>
      </c>
      <c r="D31" s="288"/>
      <c r="F31" s="287"/>
      <c r="G31" s="290" t="str">
        <f t="shared" si="1"/>
        <v>27</v>
      </c>
      <c r="H31" s="291" t="str">
        <f t="shared" si="1"/>
        <v>A.O. Lesgo</v>
      </c>
      <c r="I31" s="288"/>
      <c r="K31" s="286" t="s">
        <v>102</v>
      </c>
      <c r="L31" s="292" t="s">
        <v>533</v>
      </c>
    </row>
    <row r="32" spans="1:12" ht="21" customHeight="1">
      <c r="A32" s="287"/>
      <c r="B32" s="290" t="str">
        <f t="shared" si="0"/>
        <v>1879</v>
      </c>
      <c r="C32" s="291" t="str">
        <f t="shared" si="0"/>
        <v>Belle Isle Hurtya</v>
      </c>
      <c r="D32" s="288"/>
      <c r="F32" s="287"/>
      <c r="G32" s="290" t="str">
        <f t="shared" si="1"/>
        <v>38DD</v>
      </c>
      <c r="H32" s="291" t="str">
        <f t="shared" si="1"/>
        <v>Tig O' Hitties</v>
      </c>
      <c r="I32" s="288"/>
      <c r="K32" s="286" t="s">
        <v>373</v>
      </c>
      <c r="L32" s="292" t="s">
        <v>372</v>
      </c>
    </row>
    <row r="33" spans="1:12" ht="21" customHeight="1">
      <c r="A33" s="287"/>
      <c r="B33" s="290" t="str">
        <f t="shared" si="0"/>
        <v>20</v>
      </c>
      <c r="C33" s="291" t="str">
        <f t="shared" si="0"/>
        <v>Devil Kitty</v>
      </c>
      <c r="D33" s="288"/>
      <c r="F33" s="287"/>
      <c r="G33" s="290" t="str">
        <f t="shared" si="1"/>
        <v>42</v>
      </c>
      <c r="H33" s="291" t="str">
        <f t="shared" si="1"/>
        <v>Midnite Vulture</v>
      </c>
      <c r="I33" s="288"/>
      <c r="K33" s="286" t="s">
        <v>17</v>
      </c>
      <c r="L33" s="292" t="s">
        <v>374</v>
      </c>
    </row>
    <row r="34" spans="1:12" ht="21" customHeight="1">
      <c r="A34" s="287"/>
      <c r="B34" s="290" t="str">
        <f t="shared" si="0"/>
        <v>20KN</v>
      </c>
      <c r="C34" s="291" t="str">
        <f t="shared" si="0"/>
        <v>Kraken Whips</v>
      </c>
      <c r="D34" s="288"/>
      <c r="F34" s="287"/>
      <c r="G34" s="290" t="str">
        <f t="shared" si="1"/>
        <v>50</v>
      </c>
      <c r="H34" s="291" t="str">
        <f t="shared" si="1"/>
        <v>Sam-I-Slam</v>
      </c>
      <c r="I34" s="288"/>
      <c r="K34" s="286" t="s">
        <v>377</v>
      </c>
      <c r="L34" s="292" t="s">
        <v>376</v>
      </c>
    </row>
    <row r="35" spans="1:12" ht="21" customHeight="1">
      <c r="A35" s="287"/>
      <c r="B35" s="290" t="str">
        <f t="shared" si="0"/>
        <v>212</v>
      </c>
      <c r="C35" s="291" t="str">
        <f t="shared" si="0"/>
        <v>Wham!tramck</v>
      </c>
      <c r="D35" s="288"/>
      <c r="F35" s="287"/>
      <c r="G35" s="290" t="str">
        <f t="shared" si="1"/>
        <v>620</v>
      </c>
      <c r="H35" s="291" t="str">
        <f t="shared" si="1"/>
        <v>Lazer Beam</v>
      </c>
      <c r="I35" s="288"/>
      <c r="K35" s="286" t="s">
        <v>104</v>
      </c>
      <c r="L35" s="292" t="s">
        <v>378</v>
      </c>
    </row>
    <row r="36" spans="1:12" ht="21" customHeight="1">
      <c r="A36" s="287"/>
      <c r="B36" s="290" t="str">
        <f t="shared" si="0"/>
        <v>33 1/3</v>
      </c>
      <c r="C36" s="291" t="str">
        <f t="shared" si="0"/>
        <v>Cookie Rumble</v>
      </c>
      <c r="D36" s="288"/>
      <c r="F36" s="287"/>
      <c r="G36" s="290" t="str">
        <f t="shared" si="1"/>
        <v>7</v>
      </c>
      <c r="H36" s="291" t="str">
        <f t="shared" si="1"/>
        <v>CottonCandy Princess</v>
      </c>
      <c r="I36" s="288"/>
      <c r="K36" s="286" t="s">
        <v>462</v>
      </c>
      <c r="L36" s="292" t="s">
        <v>461</v>
      </c>
    </row>
    <row r="37" spans="1:12" ht="21" customHeight="1">
      <c r="A37" s="287"/>
      <c r="B37" s="290" t="str">
        <f t="shared" si="0"/>
        <v>428</v>
      </c>
      <c r="C37" s="291" t="str">
        <f t="shared" si="0"/>
        <v>Freakin' Rican</v>
      </c>
      <c r="D37" s="288"/>
      <c r="F37" s="287"/>
      <c r="G37" s="290" t="str">
        <f t="shared" si="1"/>
        <v>72</v>
      </c>
      <c r="H37" s="291" t="str">
        <f t="shared" si="1"/>
        <v>Demonica Mars</v>
      </c>
      <c r="I37" s="288"/>
      <c r="K37" s="286" t="s">
        <v>18</v>
      </c>
      <c r="L37" s="292" t="s">
        <v>463</v>
      </c>
    </row>
    <row r="38" spans="1:12" ht="21" customHeight="1">
      <c r="A38" s="287"/>
      <c r="B38" s="290" t="str">
        <f t="shared" si="0"/>
        <v>6</v>
      </c>
      <c r="C38" s="291" t="str">
        <f t="shared" si="0"/>
        <v>Elle McFearsome</v>
      </c>
      <c r="D38" s="288"/>
      <c r="F38" s="287"/>
      <c r="G38" s="290" t="str">
        <f t="shared" si="1"/>
        <v>9.81</v>
      </c>
      <c r="H38" s="291" t="str">
        <f t="shared" si="1"/>
        <v>Uhura Belle Death</v>
      </c>
      <c r="I38" s="288"/>
      <c r="K38" s="286" t="s">
        <v>19</v>
      </c>
      <c r="L38" s="292" t="s">
        <v>368</v>
      </c>
    </row>
    <row r="39" spans="1:12" ht="21" customHeight="1">
      <c r="A39" s="287"/>
      <c r="B39" s="290" t="str">
        <f t="shared" si="0"/>
        <v>728</v>
      </c>
      <c r="C39" s="291" t="str">
        <f t="shared" si="0"/>
        <v>Combat Cat</v>
      </c>
      <c r="D39" s="288"/>
      <c r="F39" s="287"/>
      <c r="G39" s="290" t="str">
        <f t="shared" si="1"/>
        <v>I-75</v>
      </c>
      <c r="H39" s="291" t="str">
        <f t="shared" si="1"/>
        <v>Diesel Doll</v>
      </c>
      <c r="I39" s="288"/>
      <c r="K39" s="286" t="s">
        <v>242</v>
      </c>
      <c r="L39" s="292" t="s">
        <v>370</v>
      </c>
    </row>
    <row r="40" spans="1:12" ht="21" customHeight="1">
      <c r="A40" s="287"/>
      <c r="B40" s="290" t="str">
        <f t="shared" si="0"/>
        <v>80</v>
      </c>
      <c r="C40" s="291" t="str">
        <f t="shared" si="0"/>
        <v>Mean Streak</v>
      </c>
      <c r="D40" s="288"/>
      <c r="F40" s="287"/>
      <c r="G40" s="290" t="str">
        <f t="shared" si="1"/>
        <v>N2O</v>
      </c>
      <c r="H40" s="291" t="str">
        <f t="shared" si="1"/>
        <v>Cool Whip</v>
      </c>
      <c r="I40" s="288"/>
      <c r="K40" s="286" t="s">
        <v>20</v>
      </c>
      <c r="L40" s="292" t="s">
        <v>243</v>
      </c>
    </row>
    <row r="41" spans="1:12" ht="21" customHeight="1">
      <c r="A41" s="287"/>
      <c r="B41" s="290" t="str">
        <f t="shared" si="0"/>
        <v>9.99</v>
      </c>
      <c r="C41" s="291" t="str">
        <f t="shared" si="0"/>
        <v>U.S.S. DentHerPrize</v>
      </c>
      <c r="D41" s="288"/>
      <c r="F41" s="287"/>
      <c r="G41" s="290" t="str">
        <f t="shared" si="1"/>
        <v>W00T</v>
      </c>
      <c r="H41" s="291" t="str">
        <f t="shared" si="1"/>
        <v>Genniferal</v>
      </c>
      <c r="I41" s="288"/>
      <c r="K41" s="286" t="s">
        <v>105</v>
      </c>
      <c r="L41" s="292" t="s">
        <v>246</v>
      </c>
    </row>
    <row r="42" spans="1:12" ht="21" customHeight="1">
      <c r="A42" s="287"/>
      <c r="B42" s="290" t="str">
        <f t="shared" si="0"/>
        <v>F14</v>
      </c>
      <c r="C42" s="291" t="str">
        <f t="shared" si="0"/>
        <v>Apertorture</v>
      </c>
      <c r="D42" s="288"/>
      <c r="F42" s="287"/>
      <c r="G42" s="290" t="str">
        <f t="shared" si="1"/>
        <v>Z28</v>
      </c>
      <c r="H42" s="291" t="str">
        <f t="shared" si="1"/>
        <v>V8 Nightmare</v>
      </c>
      <c r="I42" s="288"/>
      <c r="K42" s="286" t="s">
        <v>516</v>
      </c>
      <c r="L42" s="292" t="s">
        <v>517</v>
      </c>
    </row>
    <row r="43" spans="1:12" ht="21" customHeight="1">
      <c r="A43" s="287"/>
      <c r="B43" s="290" t="str">
        <f t="shared" si="0"/>
        <v/>
      </c>
      <c r="C43" s="291" t="str">
        <f t="shared" si="0"/>
        <v/>
      </c>
      <c r="D43" s="288"/>
      <c r="F43" s="287"/>
      <c r="G43" s="290" t="str">
        <f t="shared" si="1"/>
        <v/>
      </c>
      <c r="H43" s="291" t="str">
        <f t="shared" si="1"/>
        <v/>
      </c>
      <c r="I43" s="288"/>
      <c r="K43" s="286" t="s">
        <v>185</v>
      </c>
      <c r="L43" s="292" t="s">
        <v>248</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J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9" t="s">
        <v>408</v>
      </c>
      <c r="B1" s="1239"/>
      <c r="C1" s="1239"/>
      <c r="D1" s="1239"/>
      <c r="E1" s="1241">
        <f ca="1">IF(ISBLANK(IBRF!$B$5), "", IBRF!$B$5)</f>
        <v>41377</v>
      </c>
      <c r="F1" s="1241"/>
      <c r="G1" s="1237">
        <v>1</v>
      </c>
      <c r="H1" s="1237"/>
      <c r="I1" s="1236" t="str">
        <f ca="1">Score!$A$1</f>
        <v>Detroit Pistoffs</v>
      </c>
      <c r="J1" s="1236"/>
      <c r="K1" s="1236"/>
      <c r="L1" s="1236"/>
      <c r="M1" s="1236"/>
      <c r="N1" s="1243" t="str">
        <f ca="1">IF(ISBLANK(Score!$I$1), "", Score!$I$1)</f>
        <v>Blue</v>
      </c>
      <c r="O1" s="1243"/>
      <c r="P1" s="1243"/>
      <c r="Q1" s="1243"/>
      <c r="R1" s="1237">
        <v>2</v>
      </c>
      <c r="S1" s="1237"/>
      <c r="T1" s="1244"/>
      <c r="U1" s="1244"/>
      <c r="V1" s="1244"/>
      <c r="W1" s="1244"/>
      <c r="X1" s="1244"/>
      <c r="Y1" s="1244"/>
      <c r="Z1" s="1239" t="s">
        <v>408</v>
      </c>
      <c r="AA1" s="1239"/>
      <c r="AB1" s="1239"/>
      <c r="AC1" s="1239"/>
      <c r="AD1" s="1241">
        <f ca="1">IF(ISBLANK(IBRF!$B$5), "", IBRF!$B$5)</f>
        <v>41377</v>
      </c>
      <c r="AE1" s="1241"/>
      <c r="AF1" s="1237">
        <v>1</v>
      </c>
      <c r="AG1" s="1237"/>
      <c r="AH1" s="1247" t="str">
        <f ca="1">Score!$T$1</f>
        <v>Pistolwhippers</v>
      </c>
      <c r="AI1" s="1247"/>
      <c r="AJ1" s="1247"/>
      <c r="AK1" s="1247"/>
      <c r="AL1" s="1247"/>
      <c r="AM1" s="1243" t="str">
        <f ca="1">IF(ISBLANK(Score!$AB$1), "", Score!$AB$1)</f>
        <v>Red</v>
      </c>
      <c r="AN1" s="1243"/>
      <c r="AO1" s="1243"/>
      <c r="AP1" s="1243"/>
      <c r="AQ1" s="1237">
        <v>2</v>
      </c>
      <c r="AR1" s="1237"/>
      <c r="AS1" s="1244"/>
      <c r="AT1" s="1244"/>
      <c r="AU1" s="1244"/>
      <c r="AV1" s="1244"/>
      <c r="AW1" s="1244"/>
      <c r="AX1" s="1244"/>
      <c r="AZ1" s="33"/>
    </row>
    <row r="2" spans="1:52" ht="16" customHeight="1" thickBot="1">
      <c r="A2" s="1240" t="s">
        <v>651</v>
      </c>
      <c r="B2" s="1240"/>
      <c r="C2" s="1240"/>
      <c r="D2" s="1240"/>
      <c r="E2" s="1242" t="s">
        <v>577</v>
      </c>
      <c r="F2" s="1242"/>
      <c r="G2" s="1238" t="str">
        <f ca="1">IF(Score!$R$2="","",Score!$R$2)</f>
        <v>BOUT 199</v>
      </c>
      <c r="H2" s="1238"/>
      <c r="I2" s="1236"/>
      <c r="J2" s="1236"/>
      <c r="K2" s="1236"/>
      <c r="L2" s="1236"/>
      <c r="M2" s="1236"/>
      <c r="N2" s="1246" t="s">
        <v>472</v>
      </c>
      <c r="O2" s="1246"/>
      <c r="P2" s="1246"/>
      <c r="Q2" s="1246"/>
      <c r="R2" s="1238" t="str">
        <f>G2</f>
        <v>BOUT 199</v>
      </c>
      <c r="S2" s="1238"/>
      <c r="T2" s="1245" t="s">
        <v>499</v>
      </c>
      <c r="U2" s="1245"/>
      <c r="V2" s="1245"/>
      <c r="W2" s="1245"/>
      <c r="X2" s="1245"/>
      <c r="Y2" s="1245"/>
      <c r="Z2" s="1240" t="str">
        <f>A2</f>
        <v>Rev 130308 © 2013 WFTDA</v>
      </c>
      <c r="AA2" s="1240"/>
      <c r="AB2" s="1240"/>
      <c r="AC2" s="1240"/>
      <c r="AD2" s="1242" t="s">
        <v>577</v>
      </c>
      <c r="AE2" s="1242"/>
      <c r="AF2" s="1238" t="str">
        <f ca="1">IF(Score!$R$2="","",Score!$R$2)</f>
        <v>BOUT 199</v>
      </c>
      <c r="AG2" s="1238"/>
      <c r="AH2" s="1247"/>
      <c r="AI2" s="1247"/>
      <c r="AJ2" s="1247"/>
      <c r="AK2" s="1247"/>
      <c r="AL2" s="1247"/>
      <c r="AM2" s="1246" t="s">
        <v>472</v>
      </c>
      <c r="AN2" s="1246"/>
      <c r="AO2" s="1246"/>
      <c r="AP2" s="1246"/>
      <c r="AQ2" s="1238" t="str">
        <f>AF2</f>
        <v>BOUT 199</v>
      </c>
      <c r="AR2" s="1238"/>
      <c r="AS2" s="1245" t="s">
        <v>499</v>
      </c>
      <c r="AT2" s="1245"/>
      <c r="AU2" s="1245"/>
      <c r="AV2" s="1245"/>
      <c r="AW2" s="1245"/>
      <c r="AX2" s="1245"/>
      <c r="AZ2" s="33"/>
    </row>
    <row r="3" spans="1:52" s="53" customFormat="1" ht="15" customHeight="1" thickBot="1">
      <c r="A3" s="157" t="s">
        <v>524</v>
      </c>
      <c r="B3" s="1265" t="s">
        <v>511</v>
      </c>
      <c r="C3" s="1265"/>
      <c r="D3" s="1265"/>
      <c r="E3" s="1265"/>
      <c r="F3" s="1265"/>
      <c r="G3" s="1265"/>
      <c r="H3" s="1265"/>
      <c r="I3" s="35" t="s">
        <v>526</v>
      </c>
      <c r="J3" s="158" t="s">
        <v>419</v>
      </c>
      <c r="K3" s="1266" t="s">
        <v>293</v>
      </c>
      <c r="L3" s="1266"/>
      <c r="M3" s="1266"/>
      <c r="N3" s="1266"/>
      <c r="O3" s="81" t="s">
        <v>524</v>
      </c>
      <c r="P3" s="1265" t="s">
        <v>511</v>
      </c>
      <c r="Q3" s="1265"/>
      <c r="R3" s="1265"/>
      <c r="S3" s="1265"/>
      <c r="T3" s="1265"/>
      <c r="U3" s="1265"/>
      <c r="V3" s="1265"/>
      <c r="W3" s="35" t="s">
        <v>526</v>
      </c>
      <c r="X3" s="158" t="s">
        <v>419</v>
      </c>
      <c r="Y3" s="618" t="s">
        <v>512</v>
      </c>
      <c r="Z3" s="157" t="s">
        <v>524</v>
      </c>
      <c r="AA3" s="1265" t="s">
        <v>511</v>
      </c>
      <c r="AB3" s="1265"/>
      <c r="AC3" s="1265"/>
      <c r="AD3" s="1265"/>
      <c r="AE3" s="1265"/>
      <c r="AF3" s="1265"/>
      <c r="AG3" s="1265"/>
      <c r="AH3" s="35" t="s">
        <v>526</v>
      </c>
      <c r="AI3" s="158" t="s">
        <v>419</v>
      </c>
      <c r="AJ3" s="1266" t="s">
        <v>293</v>
      </c>
      <c r="AK3" s="1266"/>
      <c r="AL3" s="1266"/>
      <c r="AM3" s="1266"/>
      <c r="AN3" s="81" t="s">
        <v>524</v>
      </c>
      <c r="AO3" s="1265" t="s">
        <v>511</v>
      </c>
      <c r="AP3" s="1265"/>
      <c r="AQ3" s="1265"/>
      <c r="AR3" s="1265"/>
      <c r="AS3" s="1265"/>
      <c r="AT3" s="1265"/>
      <c r="AU3" s="1265"/>
      <c r="AV3" s="35" t="s">
        <v>526</v>
      </c>
      <c r="AW3" s="158" t="s">
        <v>419</v>
      </c>
      <c r="AX3" s="159" t="s">
        <v>512</v>
      </c>
    </row>
    <row r="4" spans="1:52" ht="17.75" customHeight="1" thickBot="1">
      <c r="A4" s="1252" t="str">
        <f ca="1">IF(IBRF!$B11="","",IBRF!$B11)</f>
        <v>138</v>
      </c>
      <c r="B4" s="45"/>
      <c r="C4" s="46"/>
      <c r="D4" s="46"/>
      <c r="E4" s="46"/>
      <c r="F4" s="46"/>
      <c r="G4" s="46"/>
      <c r="H4" s="47"/>
      <c r="I4" s="43"/>
      <c r="J4" s="1018" t="str">
        <f>IF(COUNTA(B4:H4)=0,"",COUNTA(B4:H4))</f>
        <v/>
      </c>
      <c r="K4" s="992">
        <v>1</v>
      </c>
      <c r="L4" s="993"/>
      <c r="M4" s="993"/>
      <c r="N4" s="994"/>
      <c r="O4" s="1252" t="str">
        <f ca="1">IF(IBRF!B11="","",IBRF!B11)</f>
        <v>138</v>
      </c>
      <c r="P4" s="45"/>
      <c r="Q4" s="46"/>
      <c r="R4" s="46"/>
      <c r="S4" s="46"/>
      <c r="T4" s="46"/>
      <c r="U4" s="46"/>
      <c r="V4" s="47"/>
      <c r="W4" s="43"/>
      <c r="X4" s="1018" t="str">
        <f>IF(COUNTA(P4:V4)=0,"",COUNTA(P4:V4))</f>
        <v/>
      </c>
      <c r="Y4" s="48" t="s">
        <v>527</v>
      </c>
      <c r="Z4" s="1252" t="str">
        <f ca="1">IF(IBRF!H11="","",IBRF!H11)</f>
        <v>182</v>
      </c>
      <c r="AA4" s="45"/>
      <c r="AB4" s="46"/>
      <c r="AC4" s="46"/>
      <c r="AD4" s="46"/>
      <c r="AE4" s="46"/>
      <c r="AF4" s="46"/>
      <c r="AG4" s="47"/>
      <c r="AH4" s="43"/>
      <c r="AI4" s="1018" t="str">
        <f>IF(COUNTA(AA4:AG4)=0,"",COUNTA(AA4:AG4))</f>
        <v/>
      </c>
      <c r="AJ4" s="992">
        <v>1</v>
      </c>
      <c r="AK4" s="993"/>
      <c r="AL4" s="993"/>
      <c r="AM4" s="994"/>
      <c r="AN4" s="1252" t="str">
        <f ca="1">IF(IBRF!H11="","",IBRF!H11)</f>
        <v>182</v>
      </c>
      <c r="AO4" s="45"/>
      <c r="AP4" s="46"/>
      <c r="AQ4" s="46"/>
      <c r="AR4" s="46"/>
      <c r="AS4" s="46"/>
      <c r="AT4" s="46"/>
      <c r="AU4" s="47"/>
      <c r="AV4" s="43"/>
      <c r="AW4" s="1018" t="str">
        <f>IF(COUNTA(AO4:AU4)=0,"",COUNTA(AO4:AU4))</f>
        <v/>
      </c>
      <c r="AX4" s="48" t="s">
        <v>527</v>
      </c>
      <c r="AZ4" s="33"/>
    </row>
    <row r="5" spans="1:52" ht="17.75" customHeight="1" thickBot="1">
      <c r="A5" s="1252"/>
      <c r="B5" s="38"/>
      <c r="C5" s="39"/>
      <c r="D5" s="39"/>
      <c r="E5" s="39"/>
      <c r="F5" s="39"/>
      <c r="G5" s="39"/>
      <c r="H5" s="40"/>
      <c r="I5" s="41"/>
      <c r="J5" s="1019"/>
      <c r="K5" s="989">
        <v>2</v>
      </c>
      <c r="L5" s="990"/>
      <c r="M5" s="990"/>
      <c r="N5" s="991"/>
      <c r="O5" s="1252"/>
      <c r="P5" s="38" t="s">
        <v>515</v>
      </c>
      <c r="Q5" s="39"/>
      <c r="R5" s="39"/>
      <c r="S5" s="39"/>
      <c r="T5" s="39"/>
      <c r="U5" s="39"/>
      <c r="V5" s="40"/>
      <c r="W5" s="41"/>
      <c r="X5" s="1019"/>
      <c r="Y5" s="42" t="s">
        <v>528</v>
      </c>
      <c r="Z5" s="1252"/>
      <c r="AA5" s="38"/>
      <c r="AB5" s="39"/>
      <c r="AC5" s="39"/>
      <c r="AD5" s="39"/>
      <c r="AE5" s="39"/>
      <c r="AF5" s="39"/>
      <c r="AG5" s="40"/>
      <c r="AH5" s="41"/>
      <c r="AI5" s="1019"/>
      <c r="AJ5" s="989">
        <v>2</v>
      </c>
      <c r="AK5" s="990"/>
      <c r="AL5" s="990"/>
      <c r="AM5" s="991"/>
      <c r="AN5" s="1252"/>
      <c r="AO5" s="38" t="s">
        <v>515</v>
      </c>
      <c r="AP5" s="39"/>
      <c r="AQ5" s="39"/>
      <c r="AR5" s="39"/>
      <c r="AS5" s="39"/>
      <c r="AT5" s="39"/>
      <c r="AU5" s="40"/>
      <c r="AV5" s="41"/>
      <c r="AW5" s="1019"/>
      <c r="AX5" s="42" t="s">
        <v>528</v>
      </c>
      <c r="AZ5" s="33"/>
    </row>
    <row r="6" spans="1:52" ht="17.75" customHeight="1">
      <c r="A6" s="1250" t="str">
        <f ca="1">IF(IBRF!$B12="","",IBRF!$B12)</f>
        <v>181</v>
      </c>
      <c r="B6" s="667"/>
      <c r="C6" s="668"/>
      <c r="D6" s="668"/>
      <c r="E6" s="668"/>
      <c r="F6" s="668"/>
      <c r="G6" s="669"/>
      <c r="H6" s="670"/>
      <c r="I6" s="43"/>
      <c r="J6" s="1020" t="str">
        <f>IF(COUNTA(B6:H6)=0,"",COUNTA(B6:H6))</f>
        <v/>
      </c>
      <c r="K6" s="992">
        <v>3</v>
      </c>
      <c r="L6" s="993"/>
      <c r="M6" s="993"/>
      <c r="N6" s="994"/>
      <c r="O6" s="1250" t="str">
        <f ca="1">IF(IBRF!B12="","",IBRF!B12)</f>
        <v>181</v>
      </c>
      <c r="P6" s="667"/>
      <c r="Q6" s="668"/>
      <c r="R6" s="668"/>
      <c r="S6" s="668"/>
      <c r="T6" s="668"/>
      <c r="U6" s="669"/>
      <c r="V6" s="670"/>
      <c r="W6" s="43"/>
      <c r="X6" s="1020" t="str">
        <f>IF(COUNTA(P6:V6)=0,"",COUNTA(P6:V6))</f>
        <v/>
      </c>
      <c r="Y6" s="44" t="s">
        <v>376</v>
      </c>
      <c r="Z6" s="1250" t="str">
        <f ca="1">IF(IBRF!H12="","",IBRF!H12)</f>
        <v>2¢</v>
      </c>
      <c r="AA6" s="667"/>
      <c r="AB6" s="668"/>
      <c r="AC6" s="668"/>
      <c r="AD6" s="668"/>
      <c r="AE6" s="668"/>
      <c r="AF6" s="669"/>
      <c r="AG6" s="670"/>
      <c r="AH6" s="43"/>
      <c r="AI6" s="1020" t="str">
        <f>IF(COUNTA(AA6:AG6)=0,"",COUNTA(AA6:AG6))</f>
        <v/>
      </c>
      <c r="AJ6" s="992">
        <v>3</v>
      </c>
      <c r="AK6" s="993"/>
      <c r="AL6" s="993"/>
      <c r="AM6" s="994"/>
      <c r="AN6" s="1250" t="str">
        <f ca="1">IF(IBRF!H12="","",IBRF!H12)</f>
        <v>2¢</v>
      </c>
      <c r="AO6" s="667"/>
      <c r="AP6" s="668"/>
      <c r="AQ6" s="668"/>
      <c r="AR6" s="668"/>
      <c r="AS6" s="668"/>
      <c r="AT6" s="669"/>
      <c r="AU6" s="670"/>
      <c r="AV6" s="43"/>
      <c r="AW6" s="1020" t="str">
        <f>IF(COUNTA(AO6:AU6)=0,"",COUNTA(AO6:AU6))</f>
        <v/>
      </c>
      <c r="AX6" s="44" t="s">
        <v>376</v>
      </c>
      <c r="AZ6" s="33"/>
    </row>
    <row r="7" spans="1:52" ht="17.75" customHeight="1" thickBot="1">
      <c r="A7" s="1251"/>
      <c r="B7" s="671"/>
      <c r="C7" s="672"/>
      <c r="D7" s="672"/>
      <c r="E7" s="672"/>
      <c r="F7" s="672"/>
      <c r="G7" s="673"/>
      <c r="H7" s="674"/>
      <c r="I7" s="41"/>
      <c r="J7" s="1021"/>
      <c r="K7" s="989">
        <v>4</v>
      </c>
      <c r="L7" s="990"/>
      <c r="M7" s="990"/>
      <c r="N7" s="991"/>
      <c r="O7" s="1251"/>
      <c r="P7" s="671"/>
      <c r="Q7" s="672"/>
      <c r="R7" s="672"/>
      <c r="S7" s="672"/>
      <c r="T7" s="672"/>
      <c r="U7" s="673"/>
      <c r="V7" s="674"/>
      <c r="W7" s="41"/>
      <c r="X7" s="1021"/>
      <c r="Y7" s="42" t="s">
        <v>377</v>
      </c>
      <c r="Z7" s="1251"/>
      <c r="AA7" s="671"/>
      <c r="AB7" s="672"/>
      <c r="AC7" s="672"/>
      <c r="AD7" s="672"/>
      <c r="AE7" s="672"/>
      <c r="AF7" s="673"/>
      <c r="AG7" s="674"/>
      <c r="AH7" s="41"/>
      <c r="AI7" s="1021"/>
      <c r="AJ7" s="989">
        <v>4</v>
      </c>
      <c r="AK7" s="990"/>
      <c r="AL7" s="990"/>
      <c r="AM7" s="991"/>
      <c r="AN7" s="1251"/>
      <c r="AO7" s="671"/>
      <c r="AP7" s="672"/>
      <c r="AQ7" s="672"/>
      <c r="AR7" s="672"/>
      <c r="AS7" s="672"/>
      <c r="AT7" s="673"/>
      <c r="AU7" s="674"/>
      <c r="AV7" s="41"/>
      <c r="AW7" s="1021"/>
      <c r="AX7" s="42" t="s">
        <v>377</v>
      </c>
      <c r="AZ7" s="33"/>
    </row>
    <row r="8" spans="1:52" ht="17.75" customHeight="1" thickBot="1">
      <c r="A8" s="1252" t="str">
        <f ca="1">IF(IBRF!$B13="","",IBRF!$B13)</f>
        <v>1821</v>
      </c>
      <c r="B8" s="45"/>
      <c r="C8" s="46"/>
      <c r="D8" s="46"/>
      <c r="E8" s="46"/>
      <c r="F8" s="46"/>
      <c r="G8" s="46"/>
      <c r="H8" s="47"/>
      <c r="I8" s="43"/>
      <c r="J8" s="1018" t="str">
        <f>IF(COUNTA(B8:H8)=0,"",COUNTA(B8:H8))</f>
        <v/>
      </c>
      <c r="K8" s="992">
        <v>5</v>
      </c>
      <c r="L8" s="993"/>
      <c r="M8" s="993"/>
      <c r="N8" s="994"/>
      <c r="O8" s="1252" t="str">
        <f ca="1">IF(IBRF!B13="","",IBRF!B13)</f>
        <v>1821</v>
      </c>
      <c r="P8" s="45"/>
      <c r="Q8" s="46"/>
      <c r="R8" s="46"/>
      <c r="S8" s="46"/>
      <c r="T8" s="46"/>
      <c r="U8" s="46"/>
      <c r="V8" s="47"/>
      <c r="W8" s="43"/>
      <c r="X8" s="1018" t="str">
        <f>IF(COUNTA(P8:V8)=0,"",COUNTA(P8:V8))</f>
        <v/>
      </c>
      <c r="Y8" s="48" t="s">
        <v>461</v>
      </c>
      <c r="Z8" s="1252" t="str">
        <f ca="1">IF(IBRF!H13="","",IBRF!H13)</f>
        <v>24/7</v>
      </c>
      <c r="AA8" s="45"/>
      <c r="AB8" s="46"/>
      <c r="AC8" s="46"/>
      <c r="AD8" s="46"/>
      <c r="AE8" s="46"/>
      <c r="AF8" s="46"/>
      <c r="AG8" s="47"/>
      <c r="AH8" s="43"/>
      <c r="AI8" s="1018" t="str">
        <f>IF(COUNTA(AA8:AG8)=0,"",COUNTA(AA8:AG8))</f>
        <v/>
      </c>
      <c r="AJ8" s="992">
        <v>5</v>
      </c>
      <c r="AK8" s="993"/>
      <c r="AL8" s="993"/>
      <c r="AM8" s="994"/>
      <c r="AN8" s="1252" t="str">
        <f ca="1">IF(IBRF!H13="","",IBRF!H13)</f>
        <v>24/7</v>
      </c>
      <c r="AO8" s="45"/>
      <c r="AP8" s="46"/>
      <c r="AQ8" s="46"/>
      <c r="AR8" s="46"/>
      <c r="AS8" s="46"/>
      <c r="AT8" s="46"/>
      <c r="AU8" s="47"/>
      <c r="AV8" s="43"/>
      <c r="AW8" s="1018" t="str">
        <f>IF(COUNTA(AO8:AU8)=0,"",COUNTA(AO8:AU8))</f>
        <v/>
      </c>
      <c r="AX8" s="48" t="s">
        <v>461</v>
      </c>
      <c r="AZ8" s="33"/>
    </row>
    <row r="9" spans="1:52" ht="17.75" customHeight="1" thickBot="1">
      <c r="A9" s="1252"/>
      <c r="B9" s="38"/>
      <c r="C9" s="39"/>
      <c r="D9" s="39"/>
      <c r="E9" s="39"/>
      <c r="F9" s="39"/>
      <c r="G9" s="39"/>
      <c r="H9" s="40"/>
      <c r="I9" s="41"/>
      <c r="J9" s="1019"/>
      <c r="K9" s="989">
        <v>6</v>
      </c>
      <c r="L9" s="990"/>
      <c r="M9" s="990"/>
      <c r="N9" s="991"/>
      <c r="O9" s="1252"/>
      <c r="P9" s="38"/>
      <c r="Q9" s="39"/>
      <c r="R9" s="39"/>
      <c r="S9" s="39"/>
      <c r="T9" s="39"/>
      <c r="U9" s="39"/>
      <c r="V9" s="40"/>
      <c r="W9" s="41"/>
      <c r="X9" s="1019"/>
      <c r="Y9" s="42" t="s">
        <v>462</v>
      </c>
      <c r="Z9" s="1252"/>
      <c r="AA9" s="38"/>
      <c r="AB9" s="39"/>
      <c r="AC9" s="39"/>
      <c r="AD9" s="39"/>
      <c r="AE9" s="39"/>
      <c r="AF9" s="39"/>
      <c r="AG9" s="40"/>
      <c r="AH9" s="41"/>
      <c r="AI9" s="1019"/>
      <c r="AJ9" s="989">
        <v>6</v>
      </c>
      <c r="AK9" s="990"/>
      <c r="AL9" s="990"/>
      <c r="AM9" s="991"/>
      <c r="AN9" s="1252"/>
      <c r="AO9" s="38"/>
      <c r="AP9" s="39"/>
      <c r="AQ9" s="39"/>
      <c r="AR9" s="39"/>
      <c r="AS9" s="39"/>
      <c r="AT9" s="39"/>
      <c r="AU9" s="40"/>
      <c r="AV9" s="41"/>
      <c r="AW9" s="1019"/>
      <c r="AX9" s="42" t="s">
        <v>462</v>
      </c>
      <c r="AZ9" s="33"/>
    </row>
    <row r="10" spans="1:52" ht="17.75" customHeight="1">
      <c r="A10" s="1250" t="str">
        <f ca="1">IF(IBRF!B14="","",IBRF!B14)</f>
        <v>187</v>
      </c>
      <c r="B10" s="667"/>
      <c r="C10" s="668"/>
      <c r="D10" s="668"/>
      <c r="E10" s="668"/>
      <c r="F10" s="668"/>
      <c r="G10" s="669"/>
      <c r="H10" s="670"/>
      <c r="I10" s="43"/>
      <c r="J10" s="1020" t="str">
        <f>IF(COUNTA(B10:H10)=0,"",COUNTA(B10:H10))</f>
        <v/>
      </c>
      <c r="K10" s="992">
        <v>7</v>
      </c>
      <c r="L10" s="993"/>
      <c r="M10" s="993"/>
      <c r="N10" s="994"/>
      <c r="O10" s="1250" t="str">
        <f ca="1">IF(IBRF!B14="","",IBRF!B14)</f>
        <v>187</v>
      </c>
      <c r="P10" s="667"/>
      <c r="Q10" s="668"/>
      <c r="R10" s="668"/>
      <c r="S10" s="668"/>
      <c r="T10" s="668"/>
      <c r="U10" s="669"/>
      <c r="V10" s="670"/>
      <c r="W10" s="43"/>
      <c r="X10" s="1020" t="str">
        <f>IF(COUNTA(P10:V10)=0,"",COUNTA(P10:V10))</f>
        <v/>
      </c>
      <c r="Y10" s="48" t="s">
        <v>372</v>
      </c>
      <c r="Z10" s="1250" t="str">
        <f ca="1">IF(IBRF!H14="","",IBRF!H14)</f>
        <v>27</v>
      </c>
      <c r="AA10" s="667"/>
      <c r="AB10" s="668"/>
      <c r="AC10" s="668"/>
      <c r="AD10" s="668"/>
      <c r="AE10" s="668"/>
      <c r="AF10" s="669"/>
      <c r="AG10" s="670"/>
      <c r="AH10" s="43"/>
      <c r="AI10" s="1020" t="str">
        <f>IF(COUNTA(AA10:AG10)=0,"",COUNTA(AA10:AG10))</f>
        <v/>
      </c>
      <c r="AJ10" s="992">
        <v>7</v>
      </c>
      <c r="AK10" s="993"/>
      <c r="AL10" s="993"/>
      <c r="AM10" s="994"/>
      <c r="AN10" s="1250" t="str">
        <f ca="1">IF(IBRF!H14="","",IBRF!H14)</f>
        <v>27</v>
      </c>
      <c r="AO10" s="667"/>
      <c r="AP10" s="668"/>
      <c r="AQ10" s="668"/>
      <c r="AR10" s="668"/>
      <c r="AS10" s="668"/>
      <c r="AT10" s="669"/>
      <c r="AU10" s="670"/>
      <c r="AV10" s="43"/>
      <c r="AW10" s="1020" t="str">
        <f>IF(COUNTA(AO10:AU10)=0,"",COUNTA(AO10:AU10))</f>
        <v/>
      </c>
      <c r="AX10" s="48" t="s">
        <v>372</v>
      </c>
      <c r="AZ10" s="33"/>
    </row>
    <row r="11" spans="1:52" ht="17.75" customHeight="1" thickBot="1">
      <c r="A11" s="1251"/>
      <c r="B11" s="671"/>
      <c r="C11" s="672"/>
      <c r="D11" s="672"/>
      <c r="E11" s="672"/>
      <c r="F11" s="672"/>
      <c r="G11" s="673"/>
      <c r="H11" s="674"/>
      <c r="I11" s="41"/>
      <c r="J11" s="1021"/>
      <c r="K11" s="989">
        <v>8</v>
      </c>
      <c r="L11" s="990"/>
      <c r="M11" s="990"/>
      <c r="N11" s="991"/>
      <c r="O11" s="1251"/>
      <c r="P11" s="671"/>
      <c r="Q11" s="672"/>
      <c r="R11" s="672"/>
      <c r="S11" s="672"/>
      <c r="T11" s="672"/>
      <c r="U11" s="673"/>
      <c r="V11" s="674"/>
      <c r="W11" s="41"/>
      <c r="X11" s="1021"/>
      <c r="Y11" s="42" t="s">
        <v>373</v>
      </c>
      <c r="Z11" s="1251"/>
      <c r="AA11" s="671"/>
      <c r="AB11" s="672"/>
      <c r="AC11" s="672"/>
      <c r="AD11" s="672"/>
      <c r="AE11" s="672"/>
      <c r="AF11" s="673"/>
      <c r="AG11" s="674"/>
      <c r="AH11" s="41"/>
      <c r="AI11" s="1021"/>
      <c r="AJ11" s="989">
        <v>8</v>
      </c>
      <c r="AK11" s="990"/>
      <c r="AL11" s="990"/>
      <c r="AM11" s="991"/>
      <c r="AN11" s="1251"/>
      <c r="AO11" s="671"/>
      <c r="AP11" s="672"/>
      <c r="AQ11" s="672"/>
      <c r="AR11" s="672"/>
      <c r="AS11" s="672"/>
      <c r="AT11" s="673"/>
      <c r="AU11" s="674"/>
      <c r="AV11" s="41"/>
      <c r="AW11" s="1021"/>
      <c r="AX11" s="42" t="s">
        <v>373</v>
      </c>
      <c r="AZ11" s="33"/>
    </row>
    <row r="12" spans="1:52" ht="17.75" customHeight="1" thickBot="1">
      <c r="A12" s="1252" t="str">
        <f ca="1">IF(IBRF!B15="","",IBRF!B15)</f>
        <v>1879</v>
      </c>
      <c r="B12" s="45"/>
      <c r="C12" s="46"/>
      <c r="D12" s="46"/>
      <c r="E12" s="46"/>
      <c r="F12" s="46"/>
      <c r="G12" s="46"/>
      <c r="H12" s="47"/>
      <c r="I12" s="43"/>
      <c r="J12" s="1018" t="str">
        <f>IF(COUNTA(B12:H12)=0,"",COUNTA(B12:H12))</f>
        <v/>
      </c>
      <c r="K12" s="992">
        <v>9</v>
      </c>
      <c r="L12" s="993"/>
      <c r="M12" s="993"/>
      <c r="N12" s="994"/>
      <c r="O12" s="1252" t="str">
        <f ca="1">IF(IBRF!B15="","",IBRF!B15)</f>
        <v>1879</v>
      </c>
      <c r="P12" s="45"/>
      <c r="Q12" s="46"/>
      <c r="R12" s="46"/>
      <c r="S12" s="46"/>
      <c r="T12" s="46"/>
      <c r="U12" s="46"/>
      <c r="V12" s="47"/>
      <c r="W12" s="43"/>
      <c r="X12" s="1018" t="str">
        <f>IF(COUNTA(P12:V12)=0,"",COUNTA(P12:V12))</f>
        <v/>
      </c>
      <c r="Y12" s="48" t="s">
        <v>374</v>
      </c>
      <c r="Z12" s="1252" t="str">
        <f ca="1">IF(IBRF!H15="","",IBRF!H15)</f>
        <v>38DD</v>
      </c>
      <c r="AA12" s="45"/>
      <c r="AB12" s="46"/>
      <c r="AC12" s="46"/>
      <c r="AD12" s="46"/>
      <c r="AE12" s="46"/>
      <c r="AF12" s="46"/>
      <c r="AG12" s="47"/>
      <c r="AH12" s="43"/>
      <c r="AI12" s="1018" t="str">
        <f>IF(COUNTA(AA12:AG12)=0,"",COUNTA(AA12:AG12))</f>
        <v/>
      </c>
      <c r="AJ12" s="992">
        <v>9</v>
      </c>
      <c r="AK12" s="993"/>
      <c r="AL12" s="993"/>
      <c r="AM12" s="994"/>
      <c r="AN12" s="1252" t="str">
        <f ca="1">IF(IBRF!H15="","",IBRF!H15)</f>
        <v>38DD</v>
      </c>
      <c r="AO12" s="45"/>
      <c r="AP12" s="46"/>
      <c r="AQ12" s="46"/>
      <c r="AR12" s="46"/>
      <c r="AS12" s="46"/>
      <c r="AT12" s="46"/>
      <c r="AU12" s="47"/>
      <c r="AV12" s="43"/>
      <c r="AW12" s="1018" t="str">
        <f>IF(COUNTA(AO12:AU12)=0,"",COUNTA(AO12:AU12))</f>
        <v/>
      </c>
      <c r="AX12" s="48" t="s">
        <v>374</v>
      </c>
      <c r="AZ12" s="33"/>
    </row>
    <row r="13" spans="1:52" ht="17.75" customHeight="1" thickBot="1">
      <c r="A13" s="1252"/>
      <c r="B13" s="38"/>
      <c r="C13" s="39"/>
      <c r="D13" s="39"/>
      <c r="E13" s="39"/>
      <c r="F13" s="39"/>
      <c r="G13" s="39"/>
      <c r="H13" s="40"/>
      <c r="I13" s="41"/>
      <c r="J13" s="1019"/>
      <c r="K13" s="989">
        <v>10</v>
      </c>
      <c r="L13" s="990"/>
      <c r="M13" s="990"/>
      <c r="N13" s="991"/>
      <c r="O13" s="1252"/>
      <c r="P13" s="38"/>
      <c r="Q13" s="39"/>
      <c r="R13" s="39"/>
      <c r="S13" s="39"/>
      <c r="T13" s="39"/>
      <c r="U13" s="39"/>
      <c r="V13" s="40"/>
      <c r="W13" s="41"/>
      <c r="X13" s="1019"/>
      <c r="Y13" s="42" t="s">
        <v>375</v>
      </c>
      <c r="Z13" s="1252"/>
      <c r="AA13" s="38"/>
      <c r="AB13" s="39"/>
      <c r="AC13" s="39"/>
      <c r="AD13" s="39"/>
      <c r="AE13" s="39"/>
      <c r="AF13" s="39"/>
      <c r="AG13" s="40"/>
      <c r="AH13" s="41"/>
      <c r="AI13" s="1019"/>
      <c r="AJ13" s="989">
        <v>10</v>
      </c>
      <c r="AK13" s="990"/>
      <c r="AL13" s="990"/>
      <c r="AM13" s="991"/>
      <c r="AN13" s="1252"/>
      <c r="AO13" s="38"/>
      <c r="AP13" s="39"/>
      <c r="AQ13" s="39"/>
      <c r="AR13" s="39"/>
      <c r="AS13" s="39"/>
      <c r="AT13" s="39"/>
      <c r="AU13" s="40"/>
      <c r="AV13" s="41"/>
      <c r="AW13" s="1019"/>
      <c r="AX13" s="42" t="s">
        <v>375</v>
      </c>
      <c r="AZ13" s="33"/>
    </row>
    <row r="14" spans="1:52" ht="17.75" customHeight="1">
      <c r="A14" s="1250" t="str">
        <f ca="1">IF(IBRF!B16="","",IBRF!B16)</f>
        <v>20</v>
      </c>
      <c r="B14" s="667"/>
      <c r="C14" s="668"/>
      <c r="D14" s="668"/>
      <c r="E14" s="668"/>
      <c r="F14" s="668"/>
      <c r="G14" s="669"/>
      <c r="H14" s="670"/>
      <c r="I14" s="43"/>
      <c r="J14" s="1020" t="str">
        <f>IF(COUNTA(B14:H14)=0,"",COUNTA(B14:H14))</f>
        <v/>
      </c>
      <c r="K14" s="992">
        <v>11</v>
      </c>
      <c r="L14" s="993"/>
      <c r="M14" s="993"/>
      <c r="N14" s="994"/>
      <c r="O14" s="1250" t="str">
        <f ca="1">IF(IBRF!B16="","",IBRF!B16)</f>
        <v>20</v>
      </c>
      <c r="P14" s="667"/>
      <c r="Q14" s="668"/>
      <c r="R14" s="668"/>
      <c r="S14" s="668"/>
      <c r="T14" s="668"/>
      <c r="U14" s="669"/>
      <c r="V14" s="670"/>
      <c r="W14" s="43"/>
      <c r="X14" s="1020" t="str">
        <f>IF(COUNTA(P14:V14)=0,"",COUNTA(P14:V14))</f>
        <v/>
      </c>
      <c r="Y14" s="48" t="s">
        <v>529</v>
      </c>
      <c r="Z14" s="1250" t="str">
        <f ca="1">IF(IBRF!H16="","",IBRF!H16)</f>
        <v>42</v>
      </c>
      <c r="AA14" s="667"/>
      <c r="AB14" s="668"/>
      <c r="AC14" s="668"/>
      <c r="AD14" s="668"/>
      <c r="AE14" s="668"/>
      <c r="AF14" s="669"/>
      <c r="AG14" s="670"/>
      <c r="AH14" s="43"/>
      <c r="AI14" s="1020" t="str">
        <f>IF(COUNTA(AA14:AG14)=0,"",COUNTA(AA14:AG14))</f>
        <v/>
      </c>
      <c r="AJ14" s="992">
        <v>11</v>
      </c>
      <c r="AK14" s="993"/>
      <c r="AL14" s="993"/>
      <c r="AM14" s="994"/>
      <c r="AN14" s="1250" t="str">
        <f ca="1">IF(IBRF!H16="","",IBRF!H16)</f>
        <v>42</v>
      </c>
      <c r="AO14" s="667"/>
      <c r="AP14" s="668"/>
      <c r="AQ14" s="668"/>
      <c r="AR14" s="668"/>
      <c r="AS14" s="668"/>
      <c r="AT14" s="669"/>
      <c r="AU14" s="670"/>
      <c r="AV14" s="43"/>
      <c r="AW14" s="1020" t="str">
        <f>IF(COUNTA(AO14:AU14)=0,"",COUNTA(AO14:AU14))</f>
        <v/>
      </c>
      <c r="AX14" s="48" t="s">
        <v>529</v>
      </c>
      <c r="AZ14" s="33"/>
    </row>
    <row r="15" spans="1:52" ht="17.75" customHeight="1" thickBot="1">
      <c r="A15" s="1251"/>
      <c r="B15" s="671"/>
      <c r="C15" s="672"/>
      <c r="D15" s="672"/>
      <c r="E15" s="672"/>
      <c r="F15" s="672"/>
      <c r="G15" s="673"/>
      <c r="H15" s="674"/>
      <c r="I15" s="41"/>
      <c r="J15" s="1021"/>
      <c r="K15" s="989">
        <v>12</v>
      </c>
      <c r="L15" s="990"/>
      <c r="M15" s="990"/>
      <c r="N15" s="991"/>
      <c r="O15" s="1251"/>
      <c r="P15" s="671"/>
      <c r="Q15" s="672"/>
      <c r="R15" s="672"/>
      <c r="S15" s="672"/>
      <c r="T15" s="672"/>
      <c r="U15" s="673"/>
      <c r="V15" s="674"/>
      <c r="W15" s="41"/>
      <c r="X15" s="1021"/>
      <c r="Y15" s="42" t="s">
        <v>530</v>
      </c>
      <c r="Z15" s="1251"/>
      <c r="AA15" s="671"/>
      <c r="AB15" s="672"/>
      <c r="AC15" s="672"/>
      <c r="AD15" s="672"/>
      <c r="AE15" s="672"/>
      <c r="AF15" s="673"/>
      <c r="AG15" s="674"/>
      <c r="AH15" s="41"/>
      <c r="AI15" s="1021"/>
      <c r="AJ15" s="989">
        <v>12</v>
      </c>
      <c r="AK15" s="990"/>
      <c r="AL15" s="990"/>
      <c r="AM15" s="991"/>
      <c r="AN15" s="1251"/>
      <c r="AO15" s="671"/>
      <c r="AP15" s="672"/>
      <c r="AQ15" s="672"/>
      <c r="AR15" s="672"/>
      <c r="AS15" s="672"/>
      <c r="AT15" s="673"/>
      <c r="AU15" s="674"/>
      <c r="AV15" s="41"/>
      <c r="AW15" s="1021"/>
      <c r="AX15" s="42" t="s">
        <v>530</v>
      </c>
      <c r="AZ15" s="33"/>
    </row>
    <row r="16" spans="1:52" ht="17.75" customHeight="1" thickBot="1">
      <c r="A16" s="1252" t="str">
        <f ca="1">IF(IBRF!B17="","",IBRF!B17)</f>
        <v>20KN</v>
      </c>
      <c r="B16" s="45"/>
      <c r="C16" s="46"/>
      <c r="D16" s="46"/>
      <c r="E16" s="46"/>
      <c r="F16" s="46"/>
      <c r="G16" s="46"/>
      <c r="H16" s="47"/>
      <c r="I16" s="43"/>
      <c r="J16" s="1018" t="str">
        <f>IF(COUNTA(B16:H16)=0,"",COUNTA(B16:H16))</f>
        <v/>
      </c>
      <c r="K16" s="992">
        <v>13</v>
      </c>
      <c r="L16" s="993"/>
      <c r="M16" s="993"/>
      <c r="N16" s="994"/>
      <c r="O16" s="1252" t="str">
        <f ca="1">IF(IBRF!B17="","",IBRF!B17)</f>
        <v>20KN</v>
      </c>
      <c r="P16" s="45"/>
      <c r="Q16" s="46"/>
      <c r="R16" s="46"/>
      <c r="S16" s="46"/>
      <c r="T16" s="46"/>
      <c r="U16" s="46"/>
      <c r="V16" s="47"/>
      <c r="W16" s="43"/>
      <c r="X16" s="1018" t="str">
        <f>IF(COUNTA(P16:V16)=0,"",COUNTA(P16:V16))</f>
        <v/>
      </c>
      <c r="Y16" s="48" t="s">
        <v>463</v>
      </c>
      <c r="Z16" s="1252" t="str">
        <f ca="1">IF(IBRF!H17="","",IBRF!H17)</f>
        <v>50</v>
      </c>
      <c r="AA16" s="45"/>
      <c r="AB16" s="46"/>
      <c r="AC16" s="46"/>
      <c r="AD16" s="46"/>
      <c r="AE16" s="46"/>
      <c r="AF16" s="46"/>
      <c r="AG16" s="47"/>
      <c r="AH16" s="43"/>
      <c r="AI16" s="1018" t="str">
        <f>IF(COUNTA(AA16:AG16)=0,"",COUNTA(AA16:AG16))</f>
        <v/>
      </c>
      <c r="AJ16" s="992">
        <v>13</v>
      </c>
      <c r="AK16" s="993"/>
      <c r="AL16" s="993"/>
      <c r="AM16" s="994"/>
      <c r="AN16" s="1252" t="str">
        <f ca="1">IF(IBRF!H17="","",IBRF!H17)</f>
        <v>50</v>
      </c>
      <c r="AO16" s="45"/>
      <c r="AP16" s="46"/>
      <c r="AQ16" s="46"/>
      <c r="AR16" s="46"/>
      <c r="AS16" s="46"/>
      <c r="AT16" s="46"/>
      <c r="AU16" s="47"/>
      <c r="AV16" s="43"/>
      <c r="AW16" s="1018" t="str">
        <f>IF(COUNTA(AO16:AU16)=0,"",COUNTA(AO16:AU16))</f>
        <v/>
      </c>
      <c r="AX16" s="48" t="s">
        <v>463</v>
      </c>
      <c r="AZ16" s="33"/>
    </row>
    <row r="17" spans="1:52" ht="17.75" customHeight="1" thickBot="1">
      <c r="A17" s="1252"/>
      <c r="B17" s="38"/>
      <c r="C17" s="39"/>
      <c r="D17" s="39"/>
      <c r="E17" s="39"/>
      <c r="F17" s="39"/>
      <c r="G17" s="39"/>
      <c r="H17" s="40"/>
      <c r="I17" s="41"/>
      <c r="J17" s="1019"/>
      <c r="K17" s="989">
        <v>14</v>
      </c>
      <c r="L17" s="990"/>
      <c r="M17" s="990"/>
      <c r="N17" s="991"/>
      <c r="O17" s="1252"/>
      <c r="P17" s="38"/>
      <c r="Q17" s="39"/>
      <c r="R17" s="39"/>
      <c r="S17" s="39"/>
      <c r="T17" s="39"/>
      <c r="U17" s="39"/>
      <c r="V17" s="40"/>
      <c r="W17" s="41"/>
      <c r="X17" s="1019"/>
      <c r="Y17" s="42" t="s">
        <v>464</v>
      </c>
      <c r="Z17" s="1252"/>
      <c r="AA17" s="38"/>
      <c r="AB17" s="39"/>
      <c r="AC17" s="39"/>
      <c r="AD17" s="39"/>
      <c r="AE17" s="39"/>
      <c r="AF17" s="39"/>
      <c r="AG17" s="40"/>
      <c r="AH17" s="41"/>
      <c r="AI17" s="1019"/>
      <c r="AJ17" s="989">
        <v>14</v>
      </c>
      <c r="AK17" s="990"/>
      <c r="AL17" s="990"/>
      <c r="AM17" s="991"/>
      <c r="AN17" s="1252"/>
      <c r="AO17" s="38"/>
      <c r="AP17" s="39"/>
      <c r="AQ17" s="39"/>
      <c r="AR17" s="39"/>
      <c r="AS17" s="39"/>
      <c r="AT17" s="39"/>
      <c r="AU17" s="40"/>
      <c r="AV17" s="41"/>
      <c r="AW17" s="1019"/>
      <c r="AX17" s="42" t="s">
        <v>464</v>
      </c>
      <c r="AZ17" s="33"/>
    </row>
    <row r="18" spans="1:52" ht="17.75" customHeight="1">
      <c r="A18" s="1250" t="str">
        <f ca="1">IF(IBRF!B18="","",IBRF!B18)</f>
        <v>212</v>
      </c>
      <c r="B18" s="667"/>
      <c r="C18" s="668"/>
      <c r="D18" s="668"/>
      <c r="E18" s="668"/>
      <c r="F18" s="668"/>
      <c r="G18" s="669"/>
      <c r="H18" s="670"/>
      <c r="I18" s="43"/>
      <c r="J18" s="1020" t="str">
        <f>IF(COUNTA(B18:H18)=0,"",COUNTA(B18:H18))</f>
        <v/>
      </c>
      <c r="K18" s="992">
        <v>15</v>
      </c>
      <c r="L18" s="993"/>
      <c r="M18" s="993"/>
      <c r="N18" s="994"/>
      <c r="O18" s="1250" t="str">
        <f ca="1">IF(IBRF!B18="","",IBRF!B18)</f>
        <v>212</v>
      </c>
      <c r="P18" s="667"/>
      <c r="Q18" s="668"/>
      <c r="R18" s="668"/>
      <c r="S18" s="668"/>
      <c r="T18" s="668"/>
      <c r="U18" s="669"/>
      <c r="V18" s="670"/>
      <c r="W18" s="43"/>
      <c r="X18" s="1020" t="str">
        <f>IF(COUNTA(P18:V18)=0,"",COUNTA(P18:V18))</f>
        <v/>
      </c>
      <c r="Y18" s="48" t="s">
        <v>368</v>
      </c>
      <c r="Z18" s="1250" t="str">
        <f ca="1">IF(IBRF!H18="","",IBRF!H18)</f>
        <v>620</v>
      </c>
      <c r="AA18" s="667"/>
      <c r="AB18" s="668"/>
      <c r="AC18" s="668"/>
      <c r="AD18" s="668"/>
      <c r="AE18" s="668"/>
      <c r="AF18" s="669"/>
      <c r="AG18" s="670"/>
      <c r="AH18" s="43"/>
      <c r="AI18" s="1020" t="str">
        <f>IF(COUNTA(AA18:AG18)=0,"",COUNTA(AA18:AG18))</f>
        <v/>
      </c>
      <c r="AJ18" s="992">
        <v>15</v>
      </c>
      <c r="AK18" s="993"/>
      <c r="AL18" s="993"/>
      <c r="AM18" s="994"/>
      <c r="AN18" s="1250" t="str">
        <f ca="1">IF(IBRF!H18="","",IBRF!H18)</f>
        <v>620</v>
      </c>
      <c r="AO18" s="667"/>
      <c r="AP18" s="668"/>
      <c r="AQ18" s="668"/>
      <c r="AR18" s="668"/>
      <c r="AS18" s="668"/>
      <c r="AT18" s="669"/>
      <c r="AU18" s="670"/>
      <c r="AV18" s="43"/>
      <c r="AW18" s="1020" t="str">
        <f>IF(COUNTA(AO18:AU18)=0,"",COUNTA(AO18:AU18))</f>
        <v/>
      </c>
      <c r="AX18" s="48" t="s">
        <v>368</v>
      </c>
      <c r="AZ18" s="33"/>
    </row>
    <row r="19" spans="1:52" ht="17.75" customHeight="1" thickBot="1">
      <c r="A19" s="1251"/>
      <c r="B19" s="671"/>
      <c r="C19" s="672"/>
      <c r="D19" s="672"/>
      <c r="E19" s="672"/>
      <c r="F19" s="672"/>
      <c r="G19" s="673"/>
      <c r="H19" s="674"/>
      <c r="I19" s="41"/>
      <c r="J19" s="1021"/>
      <c r="K19" s="989">
        <v>16</v>
      </c>
      <c r="L19" s="990"/>
      <c r="M19" s="990"/>
      <c r="N19" s="991"/>
      <c r="O19" s="1251"/>
      <c r="P19" s="671"/>
      <c r="Q19" s="672"/>
      <c r="R19" s="672"/>
      <c r="S19" s="672"/>
      <c r="T19" s="672"/>
      <c r="U19" s="673"/>
      <c r="V19" s="674"/>
      <c r="W19" s="41"/>
      <c r="X19" s="1021"/>
      <c r="Y19" s="51" t="s">
        <v>369</v>
      </c>
      <c r="Z19" s="1251"/>
      <c r="AA19" s="671"/>
      <c r="AB19" s="672"/>
      <c r="AC19" s="672"/>
      <c r="AD19" s="672"/>
      <c r="AE19" s="672"/>
      <c r="AF19" s="673"/>
      <c r="AG19" s="674"/>
      <c r="AH19" s="41"/>
      <c r="AI19" s="1021"/>
      <c r="AJ19" s="989">
        <v>16</v>
      </c>
      <c r="AK19" s="990"/>
      <c r="AL19" s="990"/>
      <c r="AM19" s="991"/>
      <c r="AN19" s="1251"/>
      <c r="AO19" s="671"/>
      <c r="AP19" s="672"/>
      <c r="AQ19" s="672"/>
      <c r="AR19" s="672"/>
      <c r="AS19" s="672"/>
      <c r="AT19" s="673"/>
      <c r="AU19" s="674"/>
      <c r="AV19" s="41"/>
      <c r="AW19" s="1021"/>
      <c r="AX19" s="51" t="s">
        <v>369</v>
      </c>
      <c r="AZ19" s="33"/>
    </row>
    <row r="20" spans="1:52" ht="17.75" customHeight="1" thickBot="1">
      <c r="A20" s="1252" t="str">
        <f ca="1">IF(IBRF!B19="","",IBRF!B19)</f>
        <v>33 1/3</v>
      </c>
      <c r="B20" s="45"/>
      <c r="C20" s="46"/>
      <c r="D20" s="46"/>
      <c r="E20" s="46"/>
      <c r="F20" s="46"/>
      <c r="G20" s="46"/>
      <c r="H20" s="47"/>
      <c r="I20" s="43"/>
      <c r="J20" s="1018" t="str">
        <f>IF(COUNTA(B20:H20)=0,"",COUNTA(B20:H20))</f>
        <v/>
      </c>
      <c r="K20" s="992">
        <v>17</v>
      </c>
      <c r="L20" s="993"/>
      <c r="M20" s="993"/>
      <c r="N20" s="994"/>
      <c r="O20" s="1252" t="str">
        <f ca="1">IF(IBRF!B19="","",IBRF!B19)</f>
        <v>33 1/3</v>
      </c>
      <c r="P20" s="45"/>
      <c r="Q20" s="46"/>
      <c r="R20" s="46"/>
      <c r="S20" s="46"/>
      <c r="T20" s="46"/>
      <c r="U20" s="46"/>
      <c r="V20" s="47"/>
      <c r="W20" s="43"/>
      <c r="X20" s="1018" t="str">
        <f>IF(COUNTA(P20:V20)=0,"",COUNTA(P20:V20))</f>
        <v/>
      </c>
      <c r="Y20" s="42" t="s">
        <v>535</v>
      </c>
      <c r="Z20" s="1252" t="str">
        <f ca="1">IF(IBRF!H19="","",IBRF!H19)</f>
        <v>7</v>
      </c>
      <c r="AA20" s="45"/>
      <c r="AB20" s="46"/>
      <c r="AC20" s="46"/>
      <c r="AD20" s="46"/>
      <c r="AE20" s="46"/>
      <c r="AF20" s="46"/>
      <c r="AG20" s="47"/>
      <c r="AH20" s="43"/>
      <c r="AI20" s="1018" t="str">
        <f>IF(COUNTA(AA20:AG20)=0,"",COUNTA(AA20:AG20))</f>
        <v/>
      </c>
      <c r="AJ20" s="992">
        <v>17</v>
      </c>
      <c r="AK20" s="993"/>
      <c r="AL20" s="993"/>
      <c r="AM20" s="994"/>
      <c r="AN20" s="1252" t="str">
        <f ca="1">IF(IBRF!H19="","",IBRF!H19)</f>
        <v>7</v>
      </c>
      <c r="AO20" s="45"/>
      <c r="AP20" s="46"/>
      <c r="AQ20" s="46"/>
      <c r="AR20" s="46"/>
      <c r="AS20" s="46"/>
      <c r="AT20" s="46"/>
      <c r="AU20" s="47"/>
      <c r="AV20" s="43"/>
      <c r="AW20" s="1018" t="str">
        <f>IF(COUNTA(AO20:AU20)=0,"",COUNTA(AO20:AU20))</f>
        <v/>
      </c>
      <c r="AX20" s="42" t="s">
        <v>535</v>
      </c>
      <c r="AZ20" s="33"/>
    </row>
    <row r="21" spans="1:52" ht="17.75" customHeight="1" thickBot="1">
      <c r="A21" s="1252"/>
      <c r="B21" s="38"/>
      <c r="C21" s="39"/>
      <c r="D21" s="39"/>
      <c r="E21" s="39"/>
      <c r="F21" s="39"/>
      <c r="G21" s="39"/>
      <c r="H21" s="40"/>
      <c r="I21" s="41"/>
      <c r="J21" s="1019"/>
      <c r="K21" s="989">
        <v>18</v>
      </c>
      <c r="L21" s="990"/>
      <c r="M21" s="990"/>
      <c r="N21" s="991"/>
      <c r="O21" s="1252"/>
      <c r="P21" s="38"/>
      <c r="Q21" s="39"/>
      <c r="R21" s="39"/>
      <c r="S21" s="39"/>
      <c r="T21" s="39"/>
      <c r="U21" s="39"/>
      <c r="V21" s="40"/>
      <c r="W21" s="41"/>
      <c r="X21" s="1019"/>
      <c r="Y21" s="48" t="s">
        <v>533</v>
      </c>
      <c r="Z21" s="1252"/>
      <c r="AA21" s="38"/>
      <c r="AB21" s="39"/>
      <c r="AC21" s="39"/>
      <c r="AD21" s="39"/>
      <c r="AE21" s="39"/>
      <c r="AF21" s="39"/>
      <c r="AG21" s="40"/>
      <c r="AH21" s="41"/>
      <c r="AI21" s="1019"/>
      <c r="AJ21" s="989">
        <v>18</v>
      </c>
      <c r="AK21" s="990"/>
      <c r="AL21" s="990"/>
      <c r="AM21" s="991"/>
      <c r="AN21" s="1252"/>
      <c r="AO21" s="38"/>
      <c r="AP21" s="39"/>
      <c r="AQ21" s="39"/>
      <c r="AR21" s="39"/>
      <c r="AS21" s="39"/>
      <c r="AT21" s="39"/>
      <c r="AU21" s="40"/>
      <c r="AV21" s="41"/>
      <c r="AW21" s="1019"/>
      <c r="AX21" s="48" t="s">
        <v>533</v>
      </c>
      <c r="AZ21" s="33"/>
    </row>
    <row r="22" spans="1:52" ht="17.75" customHeight="1">
      <c r="A22" s="1250" t="str">
        <f ca="1">IF(IBRF!B20="","",IBRF!B20)</f>
        <v>428</v>
      </c>
      <c r="B22" s="667"/>
      <c r="C22" s="668"/>
      <c r="D22" s="668"/>
      <c r="E22" s="668"/>
      <c r="F22" s="668"/>
      <c r="G22" s="669"/>
      <c r="H22" s="670"/>
      <c r="I22" s="43"/>
      <c r="J22" s="1020" t="str">
        <f>IF(COUNTA(B22:H22)=0,"",COUNTA(B22:H22))</f>
        <v/>
      </c>
      <c r="K22" s="992">
        <v>19</v>
      </c>
      <c r="L22" s="993"/>
      <c r="M22" s="993"/>
      <c r="N22" s="994"/>
      <c r="O22" s="1250" t="str">
        <f ca="1">IF(IBRF!B20="","",IBRF!B20)</f>
        <v>428</v>
      </c>
      <c r="P22" s="667"/>
      <c r="Q22" s="668"/>
      <c r="R22" s="668"/>
      <c r="S22" s="668"/>
      <c r="T22" s="668"/>
      <c r="U22" s="669"/>
      <c r="V22" s="670"/>
      <c r="W22" s="43"/>
      <c r="X22" s="1020" t="str">
        <f>IF(COUNTA(P22:V22)=0,"",COUNTA(P22:V22))</f>
        <v/>
      </c>
      <c r="Y22" s="312" t="s">
        <v>371</v>
      </c>
      <c r="Z22" s="1250" t="str">
        <f ca="1">IF(IBRF!H20="","",IBRF!H20)</f>
        <v>72</v>
      </c>
      <c r="AA22" s="667"/>
      <c r="AB22" s="668"/>
      <c r="AC22" s="668"/>
      <c r="AD22" s="668"/>
      <c r="AE22" s="668"/>
      <c r="AF22" s="669"/>
      <c r="AG22" s="670"/>
      <c r="AH22" s="43"/>
      <c r="AI22" s="1020" t="str">
        <f>IF(COUNTA(AA22:AG22)=0,"",COUNTA(AA22:AG22))</f>
        <v/>
      </c>
      <c r="AJ22" s="992">
        <v>19</v>
      </c>
      <c r="AK22" s="993"/>
      <c r="AL22" s="993"/>
      <c r="AM22" s="994"/>
      <c r="AN22" s="1250" t="str">
        <f ca="1">IF(IBRF!H20="","",IBRF!H20)</f>
        <v>72</v>
      </c>
      <c r="AO22" s="667"/>
      <c r="AP22" s="668"/>
      <c r="AQ22" s="668"/>
      <c r="AR22" s="668"/>
      <c r="AS22" s="668"/>
      <c r="AT22" s="669"/>
      <c r="AU22" s="670"/>
      <c r="AV22" s="43"/>
      <c r="AW22" s="1020" t="str">
        <f>IF(COUNTA(AO22:AU22)=0,"",COUNTA(AO22:AU22))</f>
        <v/>
      </c>
      <c r="AX22" s="312" t="s">
        <v>371</v>
      </c>
      <c r="AZ22" s="33"/>
    </row>
    <row r="23" spans="1:52" ht="17.75" customHeight="1" thickBot="1">
      <c r="A23" s="1251"/>
      <c r="B23" s="671"/>
      <c r="C23" s="672"/>
      <c r="D23" s="672"/>
      <c r="E23" s="672"/>
      <c r="F23" s="672"/>
      <c r="G23" s="673"/>
      <c r="H23" s="674"/>
      <c r="I23" s="41"/>
      <c r="J23" s="1021"/>
      <c r="K23" s="989">
        <v>20</v>
      </c>
      <c r="L23" s="990"/>
      <c r="M23" s="990"/>
      <c r="N23" s="991"/>
      <c r="O23" s="1251"/>
      <c r="P23" s="671"/>
      <c r="Q23" s="672"/>
      <c r="R23" s="672"/>
      <c r="S23" s="672"/>
      <c r="T23" s="672"/>
      <c r="U23" s="673"/>
      <c r="V23" s="674"/>
      <c r="W23" s="41"/>
      <c r="X23" s="1021"/>
      <c r="Y23" s="310" t="s">
        <v>536</v>
      </c>
      <c r="Z23" s="1251"/>
      <c r="AA23" s="671"/>
      <c r="AB23" s="672"/>
      <c r="AC23" s="672"/>
      <c r="AD23" s="672"/>
      <c r="AE23" s="672"/>
      <c r="AF23" s="673"/>
      <c r="AG23" s="674"/>
      <c r="AH23" s="41"/>
      <c r="AI23" s="1021"/>
      <c r="AJ23" s="989">
        <v>20</v>
      </c>
      <c r="AK23" s="990"/>
      <c r="AL23" s="990"/>
      <c r="AM23" s="991"/>
      <c r="AN23" s="1251"/>
      <c r="AO23" s="671"/>
      <c r="AP23" s="672"/>
      <c r="AQ23" s="672"/>
      <c r="AR23" s="672"/>
      <c r="AS23" s="672"/>
      <c r="AT23" s="673"/>
      <c r="AU23" s="674"/>
      <c r="AV23" s="41"/>
      <c r="AW23" s="1021"/>
      <c r="AX23" s="310" t="s">
        <v>536</v>
      </c>
      <c r="AZ23" s="33"/>
    </row>
    <row r="24" spans="1:52" ht="17.75" customHeight="1" thickBot="1">
      <c r="A24" s="1252" t="str">
        <f ca="1">IF(IBRF!B21="","",IBRF!B21)</f>
        <v>6</v>
      </c>
      <c r="B24" s="45"/>
      <c r="C24" s="46"/>
      <c r="D24" s="46"/>
      <c r="E24" s="46"/>
      <c r="F24" s="46"/>
      <c r="G24" s="46"/>
      <c r="H24" s="47"/>
      <c r="I24" s="43"/>
      <c r="J24" s="1018" t="str">
        <f>IF(COUNTA(B24:H24)=0,"",COUNTA(B24:H24))</f>
        <v/>
      </c>
      <c r="K24" s="992">
        <v>21</v>
      </c>
      <c r="L24" s="993"/>
      <c r="M24" s="993"/>
      <c r="N24" s="994"/>
      <c r="O24" s="1252" t="str">
        <f ca="1">IF(IBRF!B21="","",IBRF!B21)</f>
        <v>6</v>
      </c>
      <c r="P24" s="45"/>
      <c r="Q24" s="46"/>
      <c r="R24" s="46"/>
      <c r="S24" s="46"/>
      <c r="T24" s="46"/>
      <c r="U24" s="46"/>
      <c r="V24" s="47"/>
      <c r="W24" s="43"/>
      <c r="X24" s="1018" t="str">
        <f>IF(COUNTA(P24:V24)=0,"",COUNTA(P24:V24))</f>
        <v/>
      </c>
      <c r="Y24" s="311" t="s">
        <v>537</v>
      </c>
      <c r="Z24" s="1252" t="str">
        <f ca="1">IF(IBRF!H21="","",IBRF!H21)</f>
        <v>9.81</v>
      </c>
      <c r="AA24" s="45"/>
      <c r="AB24" s="46"/>
      <c r="AC24" s="46"/>
      <c r="AD24" s="46"/>
      <c r="AE24" s="46"/>
      <c r="AF24" s="46"/>
      <c r="AG24" s="47"/>
      <c r="AH24" s="43"/>
      <c r="AI24" s="1018" t="str">
        <f>IF(COUNTA(AA24:AG24)=0,"",COUNTA(AA24:AG24))</f>
        <v/>
      </c>
      <c r="AJ24" s="992">
        <v>21</v>
      </c>
      <c r="AK24" s="993"/>
      <c r="AL24" s="993"/>
      <c r="AM24" s="994"/>
      <c r="AN24" s="1252" t="str">
        <f ca="1">IF(IBRF!H21="","",IBRF!H21)</f>
        <v>9.81</v>
      </c>
      <c r="AO24" s="45"/>
      <c r="AP24" s="46"/>
      <c r="AQ24" s="46"/>
      <c r="AR24" s="46"/>
      <c r="AS24" s="46"/>
      <c r="AT24" s="46"/>
      <c r="AU24" s="47"/>
      <c r="AV24" s="43"/>
      <c r="AW24" s="1018" t="str">
        <f>IF(COUNTA(AO24:AU24)=0,"",COUNTA(AO24:AU24))</f>
        <v/>
      </c>
      <c r="AX24" s="311" t="s">
        <v>537</v>
      </c>
      <c r="AZ24" s="33"/>
    </row>
    <row r="25" spans="1:52" ht="17.75" customHeight="1" thickBot="1">
      <c r="A25" s="1252"/>
      <c r="B25" s="38"/>
      <c r="C25" s="39"/>
      <c r="D25" s="39"/>
      <c r="E25" s="39"/>
      <c r="F25" s="39"/>
      <c r="G25" s="39"/>
      <c r="H25" s="40"/>
      <c r="I25" s="41"/>
      <c r="J25" s="1019"/>
      <c r="K25" s="989">
        <v>22</v>
      </c>
      <c r="L25" s="990"/>
      <c r="M25" s="990"/>
      <c r="N25" s="991"/>
      <c r="O25" s="1252"/>
      <c r="P25" s="38"/>
      <c r="Q25" s="39"/>
      <c r="R25" s="39"/>
      <c r="S25" s="39"/>
      <c r="T25" s="39"/>
      <c r="U25" s="39"/>
      <c r="V25" s="40"/>
      <c r="W25" s="41"/>
      <c r="X25" s="1019"/>
      <c r="Y25" s="48" t="s">
        <v>370</v>
      </c>
      <c r="Z25" s="1252"/>
      <c r="AA25" s="38"/>
      <c r="AB25" s="39"/>
      <c r="AC25" s="39"/>
      <c r="AD25" s="39"/>
      <c r="AE25" s="39"/>
      <c r="AF25" s="39"/>
      <c r="AG25" s="40"/>
      <c r="AH25" s="41"/>
      <c r="AI25" s="1019"/>
      <c r="AJ25" s="989">
        <v>22</v>
      </c>
      <c r="AK25" s="990"/>
      <c r="AL25" s="990"/>
      <c r="AM25" s="991"/>
      <c r="AN25" s="1252"/>
      <c r="AO25" s="38"/>
      <c r="AP25" s="39"/>
      <c r="AQ25" s="39"/>
      <c r="AR25" s="39"/>
      <c r="AS25" s="39"/>
      <c r="AT25" s="39"/>
      <c r="AU25" s="40"/>
      <c r="AV25" s="41"/>
      <c r="AW25" s="1019"/>
      <c r="AX25" s="48" t="s">
        <v>370</v>
      </c>
      <c r="AZ25" s="33"/>
    </row>
    <row r="26" spans="1:52" ht="17.75" customHeight="1">
      <c r="A26" s="1250" t="str">
        <f ca="1">IF(IBRF!B22="","",IBRF!B22)</f>
        <v>728</v>
      </c>
      <c r="B26" s="667"/>
      <c r="C26" s="668"/>
      <c r="D26" s="668"/>
      <c r="E26" s="668"/>
      <c r="F26" s="668"/>
      <c r="G26" s="669"/>
      <c r="H26" s="670"/>
      <c r="I26" s="43"/>
      <c r="J26" s="1020" t="str">
        <f>IF(COUNTA(B26:H26)=0,"",COUNTA(B26:H26))</f>
        <v/>
      </c>
      <c r="K26" s="992">
        <v>23</v>
      </c>
      <c r="L26" s="993"/>
      <c r="M26" s="993"/>
      <c r="N26" s="994"/>
      <c r="O26" s="1250" t="str">
        <f ca="1">IF(IBRF!B22="","",IBRF!B22)</f>
        <v>728</v>
      </c>
      <c r="P26" s="667"/>
      <c r="Q26" s="668"/>
      <c r="R26" s="668"/>
      <c r="S26" s="668"/>
      <c r="T26" s="668"/>
      <c r="U26" s="669"/>
      <c r="V26" s="670"/>
      <c r="W26" s="43"/>
      <c r="X26" s="1020" t="str">
        <f>IF(COUNTA(P26:V26)=0,"",COUNTA(P26:V26))</f>
        <v/>
      </c>
      <c r="Y26" s="51" t="s">
        <v>242</v>
      </c>
      <c r="Z26" s="1250" t="str">
        <f ca="1">IF(IBRF!H22="","",IBRF!H22)</f>
        <v>I-75</v>
      </c>
      <c r="AA26" s="667"/>
      <c r="AB26" s="668"/>
      <c r="AC26" s="668"/>
      <c r="AD26" s="668"/>
      <c r="AE26" s="668"/>
      <c r="AF26" s="669"/>
      <c r="AG26" s="670"/>
      <c r="AH26" s="43"/>
      <c r="AI26" s="1020" t="str">
        <f>IF(COUNTA(AA26:AG26)=0,"",COUNTA(AA26:AG26))</f>
        <v/>
      </c>
      <c r="AJ26" s="992">
        <v>23</v>
      </c>
      <c r="AK26" s="993"/>
      <c r="AL26" s="993"/>
      <c r="AM26" s="994"/>
      <c r="AN26" s="1250" t="str">
        <f ca="1">IF(IBRF!H22="","",IBRF!H22)</f>
        <v>I-75</v>
      </c>
      <c r="AO26" s="667"/>
      <c r="AP26" s="668"/>
      <c r="AQ26" s="668"/>
      <c r="AR26" s="668"/>
      <c r="AS26" s="668"/>
      <c r="AT26" s="669"/>
      <c r="AU26" s="670"/>
      <c r="AV26" s="43"/>
      <c r="AW26" s="1020" t="str">
        <f>IF(COUNTA(AO26:AU26)=0,"",COUNTA(AO26:AU26))</f>
        <v/>
      </c>
      <c r="AX26" s="51" t="s">
        <v>242</v>
      </c>
      <c r="AZ26" s="33"/>
    </row>
    <row r="27" spans="1:52" ht="17.75" customHeight="1" thickBot="1">
      <c r="A27" s="1251"/>
      <c r="B27" s="671"/>
      <c r="C27" s="672"/>
      <c r="D27" s="672"/>
      <c r="E27" s="672"/>
      <c r="F27" s="672"/>
      <c r="G27" s="673"/>
      <c r="H27" s="674"/>
      <c r="I27" s="41"/>
      <c r="J27" s="1021"/>
      <c r="K27" s="989">
        <v>24</v>
      </c>
      <c r="L27" s="990"/>
      <c r="M27" s="990"/>
      <c r="N27" s="991"/>
      <c r="O27" s="1251"/>
      <c r="P27" s="671"/>
      <c r="Q27" s="672"/>
      <c r="R27" s="672"/>
      <c r="S27" s="672"/>
      <c r="T27" s="672"/>
      <c r="U27" s="673"/>
      <c r="V27" s="674"/>
      <c r="W27" s="41"/>
      <c r="X27" s="1021"/>
      <c r="Y27" s="335" t="s">
        <v>561</v>
      </c>
      <c r="Z27" s="1251"/>
      <c r="AA27" s="671"/>
      <c r="AB27" s="672"/>
      <c r="AC27" s="672"/>
      <c r="AD27" s="672"/>
      <c r="AE27" s="672"/>
      <c r="AF27" s="673"/>
      <c r="AG27" s="674"/>
      <c r="AH27" s="41"/>
      <c r="AI27" s="1021"/>
      <c r="AJ27" s="989">
        <v>24</v>
      </c>
      <c r="AK27" s="990"/>
      <c r="AL27" s="990"/>
      <c r="AM27" s="991"/>
      <c r="AN27" s="1251"/>
      <c r="AO27" s="671"/>
      <c r="AP27" s="672"/>
      <c r="AQ27" s="672"/>
      <c r="AR27" s="672"/>
      <c r="AS27" s="672"/>
      <c r="AT27" s="673"/>
      <c r="AU27" s="674"/>
      <c r="AV27" s="41"/>
      <c r="AW27" s="1021"/>
      <c r="AX27" s="335" t="s">
        <v>561</v>
      </c>
      <c r="AZ27" s="33"/>
    </row>
    <row r="28" spans="1:52" ht="17.75" customHeight="1" thickBot="1">
      <c r="A28" s="1252" t="str">
        <f ca="1">IF(IBRF!B23="","",IBRF!B23)</f>
        <v>80</v>
      </c>
      <c r="B28" s="45"/>
      <c r="C28" s="46"/>
      <c r="D28" s="46"/>
      <c r="E28" s="46"/>
      <c r="F28" s="46"/>
      <c r="G28" s="46"/>
      <c r="H28" s="47"/>
      <c r="I28" s="43"/>
      <c r="J28" s="1018" t="str">
        <f>IF(COUNTA(B28:H28)=0,"",COUNTA(B28:H28))</f>
        <v/>
      </c>
      <c r="K28" s="992">
        <v>25</v>
      </c>
      <c r="L28" s="993"/>
      <c r="M28" s="993"/>
      <c r="N28" s="994"/>
      <c r="O28" s="1252" t="str">
        <f ca="1">IF(IBRF!B23="","",IBRF!B23)</f>
        <v>80</v>
      </c>
      <c r="P28" s="45"/>
      <c r="Q28" s="46"/>
      <c r="R28" s="46"/>
      <c r="S28" s="46"/>
      <c r="T28" s="46"/>
      <c r="U28" s="46"/>
      <c r="V28" s="47"/>
      <c r="W28" s="43"/>
      <c r="X28" s="1018" t="str">
        <f>IF(COUNTA(P28:V28)=0,"",COUNTA(P28:V28))</f>
        <v/>
      </c>
      <c r="Y28" s="311" t="s">
        <v>538</v>
      </c>
      <c r="Z28" s="1252" t="str">
        <f ca="1">IF(IBRF!H23="","",IBRF!H23)</f>
        <v>N2O</v>
      </c>
      <c r="AA28" s="45"/>
      <c r="AB28" s="46"/>
      <c r="AC28" s="46"/>
      <c r="AD28" s="46"/>
      <c r="AE28" s="46"/>
      <c r="AF28" s="46"/>
      <c r="AG28" s="47"/>
      <c r="AH28" s="43"/>
      <c r="AI28" s="1018" t="str">
        <f>IF(COUNTA(AA28:AG28)=0,"",COUNTA(AA28:AG28))</f>
        <v/>
      </c>
      <c r="AJ28" s="992">
        <v>25</v>
      </c>
      <c r="AK28" s="993"/>
      <c r="AL28" s="993"/>
      <c r="AM28" s="994"/>
      <c r="AN28" s="1252" t="str">
        <f ca="1">IF(IBRF!H23="","",IBRF!H23)</f>
        <v>N2O</v>
      </c>
      <c r="AO28" s="45"/>
      <c r="AP28" s="46"/>
      <c r="AQ28" s="46"/>
      <c r="AR28" s="46"/>
      <c r="AS28" s="46"/>
      <c r="AT28" s="46"/>
      <c r="AU28" s="47"/>
      <c r="AV28" s="43"/>
      <c r="AW28" s="1018" t="str">
        <f>IF(COUNTA(AO28:AU28)=0,"",COUNTA(AO28:AU28))</f>
        <v/>
      </c>
      <c r="AX28" s="311" t="s">
        <v>538</v>
      </c>
      <c r="AZ28" s="33"/>
    </row>
    <row r="29" spans="1:52" ht="17.75" customHeight="1" thickBot="1">
      <c r="A29" s="1252"/>
      <c r="B29" s="38"/>
      <c r="C29" s="39"/>
      <c r="D29" s="39"/>
      <c r="E29" s="39"/>
      <c r="F29" s="39"/>
      <c r="G29" s="39"/>
      <c r="H29" s="40"/>
      <c r="I29" s="41"/>
      <c r="J29" s="1019"/>
      <c r="K29" s="989">
        <v>26</v>
      </c>
      <c r="L29" s="990"/>
      <c r="M29" s="990"/>
      <c r="N29" s="991"/>
      <c r="O29" s="1252"/>
      <c r="P29" s="38"/>
      <c r="Q29" s="39"/>
      <c r="R29" s="39"/>
      <c r="S29" s="39"/>
      <c r="T29" s="39"/>
      <c r="U29" s="39"/>
      <c r="V29" s="40"/>
      <c r="W29" s="41"/>
      <c r="X29" s="1019"/>
      <c r="Y29" s="49" t="s">
        <v>531</v>
      </c>
      <c r="Z29" s="1252"/>
      <c r="AA29" s="38"/>
      <c r="AB29" s="39"/>
      <c r="AC29" s="39"/>
      <c r="AD29" s="39"/>
      <c r="AE29" s="39"/>
      <c r="AF29" s="39"/>
      <c r="AG29" s="40"/>
      <c r="AH29" s="41"/>
      <c r="AI29" s="1019"/>
      <c r="AJ29" s="989">
        <v>26</v>
      </c>
      <c r="AK29" s="990"/>
      <c r="AL29" s="990"/>
      <c r="AM29" s="991"/>
      <c r="AN29" s="1252"/>
      <c r="AO29" s="38"/>
      <c r="AP29" s="39"/>
      <c r="AQ29" s="39"/>
      <c r="AR29" s="39"/>
      <c r="AS29" s="39"/>
      <c r="AT29" s="39"/>
      <c r="AU29" s="40"/>
      <c r="AV29" s="41"/>
      <c r="AW29" s="1019"/>
      <c r="AX29" s="49" t="s">
        <v>531</v>
      </c>
      <c r="AZ29" s="33"/>
    </row>
    <row r="30" spans="1:52" ht="17.75" customHeight="1" thickBot="1">
      <c r="A30" s="1250" t="str">
        <f ca="1">IF(IBRF!B24="","",IBRF!B24)</f>
        <v>9.99</v>
      </c>
      <c r="B30" s="667"/>
      <c r="C30" s="668"/>
      <c r="D30" s="668"/>
      <c r="E30" s="668"/>
      <c r="F30" s="668"/>
      <c r="G30" s="669"/>
      <c r="H30" s="670"/>
      <c r="I30" s="43"/>
      <c r="J30" s="1020" t="str">
        <f>IF(COUNTA(B30:H30)=0,"",COUNTA(B30:H30))</f>
        <v/>
      </c>
      <c r="K30" s="992">
        <v>27</v>
      </c>
      <c r="L30" s="993"/>
      <c r="M30" s="993"/>
      <c r="N30" s="994"/>
      <c r="O30" s="1250" t="str">
        <f ca="1">IF(IBRF!B24="","",IBRF!B24)</f>
        <v>9.99</v>
      </c>
      <c r="P30" s="667"/>
      <c r="Q30" s="668"/>
      <c r="R30" s="668"/>
      <c r="S30" s="668"/>
      <c r="T30" s="668"/>
      <c r="U30" s="669"/>
      <c r="V30" s="670"/>
      <c r="W30" s="43"/>
      <c r="X30" s="1020" t="str">
        <f>IF(COUNTA(P30:V30)=0,"",COUNTA(P30:V30))</f>
        <v/>
      </c>
      <c r="Y30" s="42" t="s">
        <v>532</v>
      </c>
      <c r="Z30" s="1250" t="str">
        <f ca="1">IF(IBRF!H24="","",IBRF!H24)</f>
        <v>W00T</v>
      </c>
      <c r="AA30" s="667"/>
      <c r="AB30" s="668"/>
      <c r="AC30" s="668"/>
      <c r="AD30" s="668"/>
      <c r="AE30" s="668"/>
      <c r="AF30" s="669"/>
      <c r="AG30" s="670"/>
      <c r="AH30" s="43"/>
      <c r="AI30" s="1020" t="str">
        <f>IF(COUNTA(AA30:AG30)=0,"",COUNTA(AA30:AG30))</f>
        <v/>
      </c>
      <c r="AJ30" s="992">
        <v>27</v>
      </c>
      <c r="AK30" s="993"/>
      <c r="AL30" s="993"/>
      <c r="AM30" s="994"/>
      <c r="AN30" s="1250" t="str">
        <f ca="1">IF(IBRF!H24="","",IBRF!H24)</f>
        <v>W00T</v>
      </c>
      <c r="AO30" s="667"/>
      <c r="AP30" s="668"/>
      <c r="AQ30" s="668"/>
      <c r="AR30" s="668"/>
      <c r="AS30" s="668"/>
      <c r="AT30" s="669"/>
      <c r="AU30" s="670"/>
      <c r="AV30" s="43"/>
      <c r="AW30" s="1020" t="str">
        <f>IF(COUNTA(AO30:AU30)=0,"",COUNTA(AO30:AU30))</f>
        <v/>
      </c>
      <c r="AX30" s="42" t="s">
        <v>532</v>
      </c>
      <c r="AZ30" s="33"/>
    </row>
    <row r="31" spans="1:52" ht="17.75" customHeight="1" thickBot="1">
      <c r="A31" s="1251"/>
      <c r="B31" s="671"/>
      <c r="C31" s="672"/>
      <c r="D31" s="672"/>
      <c r="E31" s="672"/>
      <c r="F31" s="672"/>
      <c r="G31" s="673"/>
      <c r="H31" s="674"/>
      <c r="I31" s="41"/>
      <c r="J31" s="1021"/>
      <c r="K31" s="989">
        <v>28</v>
      </c>
      <c r="L31" s="990"/>
      <c r="M31" s="990"/>
      <c r="N31" s="991"/>
      <c r="O31" s="1251"/>
      <c r="P31" s="671"/>
      <c r="Q31" s="672"/>
      <c r="R31" s="672"/>
      <c r="S31" s="672"/>
      <c r="T31" s="672"/>
      <c r="U31" s="673"/>
      <c r="V31" s="674"/>
      <c r="W31" s="41"/>
      <c r="X31" s="1021"/>
      <c r="Y31" s="49" t="s">
        <v>243</v>
      </c>
      <c r="Z31" s="1251"/>
      <c r="AA31" s="671"/>
      <c r="AB31" s="672"/>
      <c r="AC31" s="672"/>
      <c r="AD31" s="672"/>
      <c r="AE31" s="672"/>
      <c r="AF31" s="673"/>
      <c r="AG31" s="674"/>
      <c r="AH31" s="41"/>
      <c r="AI31" s="1021"/>
      <c r="AJ31" s="989">
        <v>28</v>
      </c>
      <c r="AK31" s="990"/>
      <c r="AL31" s="990"/>
      <c r="AM31" s="991"/>
      <c r="AN31" s="1251"/>
      <c r="AO31" s="671"/>
      <c r="AP31" s="672"/>
      <c r="AQ31" s="672"/>
      <c r="AR31" s="672"/>
      <c r="AS31" s="672"/>
      <c r="AT31" s="673"/>
      <c r="AU31" s="674"/>
      <c r="AV31" s="41"/>
      <c r="AW31" s="1021"/>
      <c r="AX31" s="49" t="s">
        <v>243</v>
      </c>
      <c r="AZ31" s="33"/>
    </row>
    <row r="32" spans="1:52" ht="17.75" customHeight="1" thickBot="1">
      <c r="A32" s="1252" t="str">
        <f ca="1">IF(IBRF!B25="","",IBRF!B25)</f>
        <v>F14</v>
      </c>
      <c r="B32" s="45"/>
      <c r="C32" s="46"/>
      <c r="D32" s="46"/>
      <c r="E32" s="46"/>
      <c r="F32" s="46"/>
      <c r="G32" s="46"/>
      <c r="H32" s="47"/>
      <c r="I32" s="43"/>
      <c r="J32" s="1018" t="str">
        <f>IF(COUNTA(B32:H32)=0,"",COUNTA(B32:H32))</f>
        <v/>
      </c>
      <c r="K32" s="992">
        <v>29</v>
      </c>
      <c r="L32" s="993"/>
      <c r="M32" s="993"/>
      <c r="N32" s="994"/>
      <c r="O32" s="1252" t="str">
        <f ca="1">IF(IBRF!B25="","",IBRF!B25)</f>
        <v>F14</v>
      </c>
      <c r="P32" s="45"/>
      <c r="Q32" s="46"/>
      <c r="R32" s="46"/>
      <c r="S32" s="46"/>
      <c r="T32" s="46"/>
      <c r="U32" s="46"/>
      <c r="V32" s="47"/>
      <c r="W32" s="43"/>
      <c r="X32" s="1018" t="str">
        <f>IF(COUNTA(P32:V32)=0,"",COUNTA(P32:V32))</f>
        <v/>
      </c>
      <c r="Y32" s="42" t="s">
        <v>244</v>
      </c>
      <c r="Z32" s="1252" t="str">
        <f ca="1">IF(IBRF!H25="","",IBRF!H25)</f>
        <v>Z28</v>
      </c>
      <c r="AA32" s="45"/>
      <c r="AB32" s="46"/>
      <c r="AC32" s="46"/>
      <c r="AD32" s="46"/>
      <c r="AE32" s="46"/>
      <c r="AF32" s="46"/>
      <c r="AG32" s="47"/>
      <c r="AH32" s="43"/>
      <c r="AI32" s="1018" t="str">
        <f>IF(COUNTA(AA32:AG32)=0,"",COUNTA(AA32:AG32))</f>
        <v/>
      </c>
      <c r="AJ32" s="992">
        <v>29</v>
      </c>
      <c r="AK32" s="993"/>
      <c r="AL32" s="993"/>
      <c r="AM32" s="994"/>
      <c r="AN32" s="1252" t="str">
        <f ca="1">IF(IBRF!H25="","",IBRF!H25)</f>
        <v>Z28</v>
      </c>
      <c r="AO32" s="45"/>
      <c r="AP32" s="46"/>
      <c r="AQ32" s="46"/>
      <c r="AR32" s="46"/>
      <c r="AS32" s="46"/>
      <c r="AT32" s="46"/>
      <c r="AU32" s="47"/>
      <c r="AV32" s="43"/>
      <c r="AW32" s="1018" t="str">
        <f>IF(COUNTA(AO32:AU32)=0,"",COUNTA(AO32:AU32))</f>
        <v/>
      </c>
      <c r="AX32" s="42" t="s">
        <v>244</v>
      </c>
      <c r="AZ32" s="33"/>
    </row>
    <row r="33" spans="1:52" ht="17.75" customHeight="1" thickBot="1">
      <c r="A33" s="1252"/>
      <c r="B33" s="38"/>
      <c r="C33" s="39"/>
      <c r="D33" s="39"/>
      <c r="E33" s="39"/>
      <c r="F33" s="39"/>
      <c r="G33" s="39"/>
      <c r="H33" s="40"/>
      <c r="I33" s="41"/>
      <c r="J33" s="1019"/>
      <c r="K33" s="989">
        <v>30</v>
      </c>
      <c r="L33" s="990"/>
      <c r="M33" s="990"/>
      <c r="N33" s="991"/>
      <c r="O33" s="1252"/>
      <c r="P33" s="38"/>
      <c r="Q33" s="39"/>
      <c r="R33" s="39"/>
      <c r="S33" s="39"/>
      <c r="T33" s="39"/>
      <c r="U33" s="39"/>
      <c r="V33" s="40"/>
      <c r="W33" s="41"/>
      <c r="X33" s="1019"/>
      <c r="Y33" s="50" t="s">
        <v>378</v>
      </c>
      <c r="Z33" s="1252"/>
      <c r="AA33" s="38"/>
      <c r="AB33" s="39"/>
      <c r="AC33" s="39"/>
      <c r="AD33" s="39"/>
      <c r="AE33" s="39"/>
      <c r="AF33" s="39"/>
      <c r="AG33" s="40"/>
      <c r="AH33" s="41"/>
      <c r="AI33" s="1019"/>
      <c r="AJ33" s="989">
        <v>30</v>
      </c>
      <c r="AK33" s="990"/>
      <c r="AL33" s="990"/>
      <c r="AM33" s="991"/>
      <c r="AN33" s="1252"/>
      <c r="AO33" s="38"/>
      <c r="AP33" s="39"/>
      <c r="AQ33" s="39"/>
      <c r="AR33" s="39"/>
      <c r="AS33" s="39"/>
      <c r="AT33" s="39"/>
      <c r="AU33" s="40"/>
      <c r="AV33" s="41"/>
      <c r="AW33" s="1019"/>
      <c r="AX33" s="50" t="s">
        <v>378</v>
      </c>
      <c r="AZ33" s="33"/>
    </row>
    <row r="34" spans="1:52" ht="17.75" customHeight="1">
      <c r="A34" s="1250" t="str">
        <f ca="1">IF(IBRF!B26="","",IBRF!B26)</f>
        <v/>
      </c>
      <c r="B34" s="667"/>
      <c r="C34" s="668"/>
      <c r="D34" s="668"/>
      <c r="E34" s="668"/>
      <c r="F34" s="668"/>
      <c r="G34" s="669"/>
      <c r="H34" s="670"/>
      <c r="I34" s="43"/>
      <c r="J34" s="1020" t="str">
        <f>IF(COUNTA(B34:H34)=0,"",COUNTA(B34:H34))</f>
        <v/>
      </c>
      <c r="K34" s="992">
        <v>31</v>
      </c>
      <c r="L34" s="993"/>
      <c r="M34" s="993"/>
      <c r="N34" s="994"/>
      <c r="O34" s="1250" t="str">
        <f ca="1">IF(IBRF!B26="","",IBRF!B26)</f>
        <v/>
      </c>
      <c r="P34" s="667"/>
      <c r="Q34" s="668"/>
      <c r="R34" s="668"/>
      <c r="S34" s="668"/>
      <c r="T34" s="668"/>
      <c r="U34" s="669"/>
      <c r="V34" s="670"/>
      <c r="W34" s="43"/>
      <c r="X34" s="1020" t="str">
        <f>IF(COUNTA(P34:V34)=0,"",COUNTA(P34:V34))</f>
        <v/>
      </c>
      <c r="Y34" s="51" t="s">
        <v>541</v>
      </c>
      <c r="Z34" s="1250" t="str">
        <f ca="1">IF(IBRF!H26="","",IBRF!H26)</f>
        <v/>
      </c>
      <c r="AA34" s="667"/>
      <c r="AB34" s="668"/>
      <c r="AC34" s="668"/>
      <c r="AD34" s="668"/>
      <c r="AE34" s="668"/>
      <c r="AF34" s="669"/>
      <c r="AG34" s="670"/>
      <c r="AH34" s="43"/>
      <c r="AI34" s="1020" t="str">
        <f>IF(COUNTA(AA34:AG34)=0,"",COUNTA(AA34:AG34))</f>
        <v/>
      </c>
      <c r="AJ34" s="992">
        <v>31</v>
      </c>
      <c r="AK34" s="993"/>
      <c r="AL34" s="993"/>
      <c r="AM34" s="994"/>
      <c r="AN34" s="1250" t="str">
        <f ca="1">IF(IBRF!H26="","",IBRF!H26)</f>
        <v/>
      </c>
      <c r="AO34" s="667"/>
      <c r="AP34" s="668"/>
      <c r="AQ34" s="668"/>
      <c r="AR34" s="668"/>
      <c r="AS34" s="668"/>
      <c r="AT34" s="669"/>
      <c r="AU34" s="670"/>
      <c r="AV34" s="43"/>
      <c r="AW34" s="1020" t="str">
        <f>IF(COUNTA(AO34:AU34)=0,"",COUNTA(AO34:AU34))</f>
        <v/>
      </c>
      <c r="AX34" s="51" t="s">
        <v>541</v>
      </c>
      <c r="AZ34" s="33"/>
    </row>
    <row r="35" spans="1:52" ht="17.75" customHeight="1" thickBot="1">
      <c r="A35" s="1251"/>
      <c r="B35" s="671"/>
      <c r="C35" s="672"/>
      <c r="D35" s="672"/>
      <c r="E35" s="672"/>
      <c r="F35" s="672"/>
      <c r="G35" s="673"/>
      <c r="H35" s="674"/>
      <c r="I35" s="41"/>
      <c r="J35" s="1021"/>
      <c r="K35" s="989">
        <v>32</v>
      </c>
      <c r="L35" s="990"/>
      <c r="M35" s="990"/>
      <c r="N35" s="991"/>
      <c r="O35" s="1251"/>
      <c r="P35" s="671"/>
      <c r="Q35" s="672"/>
      <c r="R35" s="672"/>
      <c r="S35" s="672"/>
      <c r="T35" s="672"/>
      <c r="U35" s="673"/>
      <c r="V35" s="674"/>
      <c r="W35" s="41"/>
      <c r="X35" s="1021"/>
      <c r="Y35" s="310" t="s">
        <v>539</v>
      </c>
      <c r="Z35" s="1251"/>
      <c r="AA35" s="671"/>
      <c r="AB35" s="672"/>
      <c r="AC35" s="672"/>
      <c r="AD35" s="672"/>
      <c r="AE35" s="672"/>
      <c r="AF35" s="673"/>
      <c r="AG35" s="674"/>
      <c r="AH35" s="41"/>
      <c r="AI35" s="1021"/>
      <c r="AJ35" s="989">
        <v>32</v>
      </c>
      <c r="AK35" s="990"/>
      <c r="AL35" s="990"/>
      <c r="AM35" s="991"/>
      <c r="AN35" s="1251"/>
      <c r="AO35" s="671"/>
      <c r="AP35" s="672"/>
      <c r="AQ35" s="672"/>
      <c r="AR35" s="672"/>
      <c r="AS35" s="672"/>
      <c r="AT35" s="673"/>
      <c r="AU35" s="674"/>
      <c r="AV35" s="41"/>
      <c r="AW35" s="1021"/>
      <c r="AX35" s="310" t="s">
        <v>539</v>
      </c>
      <c r="AZ35" s="33"/>
    </row>
    <row r="36" spans="1:52" ht="17.75" customHeight="1" thickBot="1">
      <c r="A36" s="1252" t="str">
        <f ca="1">IF(IBRF!B27="","",IBRF!B27)</f>
        <v/>
      </c>
      <c r="B36" s="45"/>
      <c r="C36" s="46"/>
      <c r="D36" s="46"/>
      <c r="E36" s="46"/>
      <c r="F36" s="46"/>
      <c r="G36" s="46"/>
      <c r="H36" s="47"/>
      <c r="I36" s="43"/>
      <c r="J36" s="1018" t="str">
        <f>IF(COUNTA(B36:H36)=0,"",COUNTA(B36:H36))</f>
        <v/>
      </c>
      <c r="K36" s="992">
        <v>33</v>
      </c>
      <c r="L36" s="993"/>
      <c r="M36" s="993"/>
      <c r="N36" s="994"/>
      <c r="O36" s="1252" t="str">
        <f ca="1">IF(IBRF!B27="","",IBRF!B27)</f>
        <v/>
      </c>
      <c r="P36" s="45"/>
      <c r="Q36" s="46"/>
      <c r="R36" s="46"/>
      <c r="S36" s="46"/>
      <c r="T36" s="46"/>
      <c r="U36" s="46"/>
      <c r="V36" s="47"/>
      <c r="W36" s="43"/>
      <c r="X36" s="1018" t="str">
        <f>IF(COUNTA(P36:V36)=0,"",COUNTA(P36:V36))</f>
        <v/>
      </c>
      <c r="Y36" s="311" t="s">
        <v>540</v>
      </c>
      <c r="Z36" s="1252" t="str">
        <f ca="1">IF(IBRF!H27="","",IBRF!H27)</f>
        <v/>
      </c>
      <c r="AA36" s="45"/>
      <c r="AB36" s="46"/>
      <c r="AC36" s="46"/>
      <c r="AD36" s="46"/>
      <c r="AE36" s="46"/>
      <c r="AF36" s="46"/>
      <c r="AG36" s="47"/>
      <c r="AH36" s="43"/>
      <c r="AI36" s="1018" t="str">
        <f>IF(COUNTA(AA36:AG36)=0,"",COUNTA(AA36:AG36))</f>
        <v/>
      </c>
      <c r="AJ36" s="992">
        <v>33</v>
      </c>
      <c r="AK36" s="993"/>
      <c r="AL36" s="993"/>
      <c r="AM36" s="994"/>
      <c r="AN36" s="1252" t="str">
        <f ca="1">IF(IBRF!H27="","",IBRF!H27)</f>
        <v/>
      </c>
      <c r="AO36" s="45"/>
      <c r="AP36" s="46"/>
      <c r="AQ36" s="46"/>
      <c r="AR36" s="46"/>
      <c r="AS36" s="46"/>
      <c r="AT36" s="46"/>
      <c r="AU36" s="47"/>
      <c r="AV36" s="43"/>
      <c r="AW36" s="1018" t="str">
        <f>IF(COUNTA(AO36:AU36)=0,"",COUNTA(AO36:AU36))</f>
        <v/>
      </c>
      <c r="AX36" s="311" t="s">
        <v>540</v>
      </c>
      <c r="AZ36" s="33"/>
    </row>
    <row r="37" spans="1:52" ht="17.75" customHeight="1" thickBot="1">
      <c r="A37" s="1252"/>
      <c r="B37" s="38"/>
      <c r="C37" s="39"/>
      <c r="D37" s="39"/>
      <c r="E37" s="39"/>
      <c r="F37" s="39"/>
      <c r="G37" s="39"/>
      <c r="H37" s="40"/>
      <c r="I37" s="41"/>
      <c r="J37" s="1019"/>
      <c r="K37" s="989">
        <v>34</v>
      </c>
      <c r="L37" s="990"/>
      <c r="M37" s="990"/>
      <c r="N37" s="991"/>
      <c r="O37" s="1252"/>
      <c r="P37" s="38"/>
      <c r="Q37" s="39"/>
      <c r="R37" s="39"/>
      <c r="S37" s="39"/>
      <c r="T37" s="39"/>
      <c r="U37" s="39"/>
      <c r="V37" s="40"/>
      <c r="W37" s="41"/>
      <c r="X37" s="1019"/>
      <c r="Y37" s="48" t="s">
        <v>246</v>
      </c>
      <c r="Z37" s="1252"/>
      <c r="AA37" s="38"/>
      <c r="AB37" s="39"/>
      <c r="AC37" s="39"/>
      <c r="AD37" s="39"/>
      <c r="AE37" s="39"/>
      <c r="AF37" s="39"/>
      <c r="AG37" s="40"/>
      <c r="AH37" s="41"/>
      <c r="AI37" s="1019"/>
      <c r="AJ37" s="989">
        <v>34</v>
      </c>
      <c r="AK37" s="990"/>
      <c r="AL37" s="990"/>
      <c r="AM37" s="991"/>
      <c r="AN37" s="1252"/>
      <c r="AO37" s="38"/>
      <c r="AP37" s="39"/>
      <c r="AQ37" s="39"/>
      <c r="AR37" s="39"/>
      <c r="AS37" s="39"/>
      <c r="AT37" s="39"/>
      <c r="AU37" s="40"/>
      <c r="AV37" s="41"/>
      <c r="AW37" s="1019"/>
      <c r="AX37" s="48" t="s">
        <v>246</v>
      </c>
      <c r="AZ37" s="33"/>
    </row>
    <row r="38" spans="1:52" ht="17.75" customHeight="1" thickBot="1">
      <c r="A38" s="1250" t="str">
        <f ca="1">IF(IBRF!B28="","",IBRF!B28)</f>
        <v/>
      </c>
      <c r="B38" s="667"/>
      <c r="C38" s="668"/>
      <c r="D38" s="668"/>
      <c r="E38" s="668"/>
      <c r="F38" s="668"/>
      <c r="G38" s="669"/>
      <c r="H38" s="670"/>
      <c r="I38" s="43"/>
      <c r="J38" s="1020" t="str">
        <f>IF(COUNTA(B38:H38)=0,"",COUNTA(B38:H38))</f>
        <v/>
      </c>
      <c r="K38" s="992">
        <v>35</v>
      </c>
      <c r="L38" s="993"/>
      <c r="M38" s="993"/>
      <c r="N38" s="994"/>
      <c r="O38" s="1250" t="str">
        <f ca="1">IF(IBRF!B28="","",IBRF!B28)</f>
        <v/>
      </c>
      <c r="P38" s="667"/>
      <c r="Q38" s="668"/>
      <c r="R38" s="668"/>
      <c r="S38" s="668"/>
      <c r="T38" s="668"/>
      <c r="U38" s="669"/>
      <c r="V38" s="670"/>
      <c r="W38" s="43"/>
      <c r="X38" s="1020" t="str">
        <f>IF(COUNTA(P38:V38)=0,"",COUNTA(P38:V38))</f>
        <v/>
      </c>
      <c r="Y38" s="42" t="s">
        <v>247</v>
      </c>
      <c r="Z38" s="1250" t="str">
        <f ca="1">IF(IBRF!H28="","",IBRF!H28)</f>
        <v/>
      </c>
      <c r="AA38" s="667"/>
      <c r="AB38" s="668"/>
      <c r="AC38" s="668"/>
      <c r="AD38" s="668"/>
      <c r="AE38" s="668"/>
      <c r="AF38" s="669"/>
      <c r="AG38" s="670"/>
      <c r="AH38" s="43"/>
      <c r="AI38" s="1020" t="str">
        <f>IF(COUNTA(AA38:AG38)=0,"",COUNTA(AA38:AG38))</f>
        <v/>
      </c>
      <c r="AJ38" s="992">
        <v>35</v>
      </c>
      <c r="AK38" s="993"/>
      <c r="AL38" s="993"/>
      <c r="AM38" s="994"/>
      <c r="AN38" s="1250" t="str">
        <f ca="1">IF(IBRF!H28="","",IBRF!H28)</f>
        <v/>
      </c>
      <c r="AO38" s="667"/>
      <c r="AP38" s="668"/>
      <c r="AQ38" s="668"/>
      <c r="AR38" s="668"/>
      <c r="AS38" s="668"/>
      <c r="AT38" s="669"/>
      <c r="AU38" s="670"/>
      <c r="AV38" s="43"/>
      <c r="AW38" s="1020" t="str">
        <f>IF(COUNTA(AO38:AU38)=0,"",COUNTA(AO38:AU38))</f>
        <v/>
      </c>
      <c r="AX38" s="42" t="s">
        <v>247</v>
      </c>
      <c r="AZ38" s="33"/>
    </row>
    <row r="39" spans="1:52" ht="17.75" customHeight="1" thickBot="1">
      <c r="A39" s="1251"/>
      <c r="B39" s="671"/>
      <c r="C39" s="672"/>
      <c r="D39" s="672"/>
      <c r="E39" s="672"/>
      <c r="F39" s="672"/>
      <c r="G39" s="673"/>
      <c r="H39" s="674"/>
      <c r="I39" s="41"/>
      <c r="J39" s="1021"/>
      <c r="K39" s="989">
        <v>36</v>
      </c>
      <c r="L39" s="990"/>
      <c r="M39" s="990"/>
      <c r="N39" s="991"/>
      <c r="O39" s="1251"/>
      <c r="P39" s="671"/>
      <c r="Q39" s="672"/>
      <c r="R39" s="672"/>
      <c r="S39" s="672"/>
      <c r="T39" s="672"/>
      <c r="U39" s="673"/>
      <c r="V39" s="674"/>
      <c r="W39" s="41"/>
      <c r="X39" s="1021"/>
      <c r="Y39" s="48" t="s">
        <v>517</v>
      </c>
      <c r="Z39" s="1251"/>
      <c r="AA39" s="671"/>
      <c r="AB39" s="672"/>
      <c r="AC39" s="672"/>
      <c r="AD39" s="672"/>
      <c r="AE39" s="672"/>
      <c r="AF39" s="673"/>
      <c r="AG39" s="674"/>
      <c r="AH39" s="41"/>
      <c r="AI39" s="1021"/>
      <c r="AJ39" s="989">
        <v>36</v>
      </c>
      <c r="AK39" s="990"/>
      <c r="AL39" s="990"/>
      <c r="AM39" s="991"/>
      <c r="AN39" s="1251"/>
      <c r="AO39" s="671"/>
      <c r="AP39" s="672"/>
      <c r="AQ39" s="672"/>
      <c r="AR39" s="672"/>
      <c r="AS39" s="672"/>
      <c r="AT39" s="673"/>
      <c r="AU39" s="674"/>
      <c r="AV39" s="41"/>
      <c r="AW39" s="1021"/>
      <c r="AX39" s="48" t="s">
        <v>517</v>
      </c>
      <c r="AZ39" s="33"/>
    </row>
    <row r="40" spans="1:52" ht="17.75" customHeight="1" thickBot="1">
      <c r="A40" s="1252" t="str">
        <f ca="1">IF(IBRF!B29="","",IBRF!B29)</f>
        <v/>
      </c>
      <c r="B40" s="45"/>
      <c r="C40" s="46"/>
      <c r="D40" s="46"/>
      <c r="E40" s="46"/>
      <c r="F40" s="46"/>
      <c r="G40" s="46"/>
      <c r="H40" s="47"/>
      <c r="I40" s="43"/>
      <c r="J40" s="1018" t="str">
        <f>IF(COUNTA(B40:H40)=0,"",COUNTA(B40:H40))</f>
        <v/>
      </c>
      <c r="K40" s="992">
        <v>37</v>
      </c>
      <c r="L40" s="993"/>
      <c r="M40" s="993"/>
      <c r="N40" s="994"/>
      <c r="O40" s="1252" t="str">
        <f ca="1">IF(IBRF!B29="","",IBRF!B29)</f>
        <v/>
      </c>
      <c r="P40" s="45"/>
      <c r="Q40" s="46"/>
      <c r="R40" s="46"/>
      <c r="S40" s="46"/>
      <c r="T40" s="46"/>
      <c r="U40" s="46"/>
      <c r="V40" s="47"/>
      <c r="W40" s="43"/>
      <c r="X40" s="1018" t="str">
        <f>IF(COUNTA(P40:V40)=0,"",COUNTA(P40:V40))</f>
        <v/>
      </c>
      <c r="Y40" s="51" t="s">
        <v>513</v>
      </c>
      <c r="Z40" s="1252" t="str">
        <f ca="1">IF(IBRF!H29="","",IBRF!H29)</f>
        <v/>
      </c>
      <c r="AA40" s="45"/>
      <c r="AB40" s="46"/>
      <c r="AC40" s="46"/>
      <c r="AD40" s="46"/>
      <c r="AE40" s="46"/>
      <c r="AF40" s="46"/>
      <c r="AG40" s="47"/>
      <c r="AH40" s="43"/>
      <c r="AI40" s="1018" t="str">
        <f>IF(COUNTA(AA40:AG40)=0,"",COUNTA(AA40:AG40))</f>
        <v/>
      </c>
      <c r="AJ40" s="992">
        <v>37</v>
      </c>
      <c r="AK40" s="993"/>
      <c r="AL40" s="993"/>
      <c r="AM40" s="994"/>
      <c r="AN40" s="1252" t="str">
        <f ca="1">IF(IBRF!H29="","",IBRF!H29)</f>
        <v/>
      </c>
      <c r="AO40" s="45"/>
      <c r="AP40" s="46"/>
      <c r="AQ40" s="46"/>
      <c r="AR40" s="46"/>
      <c r="AS40" s="46"/>
      <c r="AT40" s="46"/>
      <c r="AU40" s="47"/>
      <c r="AV40" s="43"/>
      <c r="AW40" s="1018" t="str">
        <f>IF(COUNTA(AO40:AU40)=0,"",COUNTA(AO40:AU40))</f>
        <v/>
      </c>
      <c r="AX40" s="51" t="s">
        <v>513</v>
      </c>
      <c r="AZ40" s="33"/>
    </row>
    <row r="41" spans="1:52" ht="17.75" customHeight="1" thickBot="1">
      <c r="A41" s="1252"/>
      <c r="B41" s="38"/>
      <c r="C41" s="39"/>
      <c r="D41" s="39"/>
      <c r="E41" s="39"/>
      <c r="F41" s="39"/>
      <c r="G41" s="39"/>
      <c r="H41" s="40"/>
      <c r="I41" s="41"/>
      <c r="J41" s="1019"/>
      <c r="K41" s="989">
        <v>38</v>
      </c>
      <c r="L41" s="990"/>
      <c r="M41" s="990"/>
      <c r="N41" s="991"/>
      <c r="O41" s="1252"/>
      <c r="P41" s="38"/>
      <c r="Q41" s="39"/>
      <c r="R41" s="39"/>
      <c r="S41" s="39"/>
      <c r="T41" s="39"/>
      <c r="U41" s="39"/>
      <c r="V41" s="40"/>
      <c r="W41" s="41"/>
      <c r="X41" s="1019"/>
      <c r="Y41" s="42" t="s">
        <v>514</v>
      </c>
      <c r="Z41" s="1252"/>
      <c r="AA41" s="38"/>
      <c r="AB41" s="39"/>
      <c r="AC41" s="39"/>
      <c r="AD41" s="39"/>
      <c r="AE41" s="39"/>
      <c r="AF41" s="39"/>
      <c r="AG41" s="40"/>
      <c r="AH41" s="41"/>
      <c r="AI41" s="1019"/>
      <c r="AJ41" s="989">
        <v>38</v>
      </c>
      <c r="AK41" s="990"/>
      <c r="AL41" s="990"/>
      <c r="AM41" s="991"/>
      <c r="AN41" s="1252"/>
      <c r="AO41" s="38"/>
      <c r="AP41" s="39"/>
      <c r="AQ41" s="39"/>
      <c r="AR41" s="39"/>
      <c r="AS41" s="39"/>
      <c r="AT41" s="39"/>
      <c r="AU41" s="40"/>
      <c r="AV41" s="41"/>
      <c r="AW41" s="1019"/>
      <c r="AX41" s="42" t="s">
        <v>514</v>
      </c>
      <c r="AZ41" s="33"/>
    </row>
    <row r="42" spans="1:52" ht="17.75" customHeight="1">
      <c r="A42" s="1250" t="str">
        <f ca="1">IF(IBRF!B30="","",IBRF!B30)</f>
        <v/>
      </c>
      <c r="B42" s="667"/>
      <c r="C42" s="668"/>
      <c r="D42" s="668"/>
      <c r="E42" s="668"/>
      <c r="F42" s="668"/>
      <c r="G42" s="669"/>
      <c r="H42" s="670"/>
      <c r="I42" s="43"/>
      <c r="J42" s="1020" t="str">
        <f>IF(COUNTA(B42:H42)=0,"",COUNTA(B42:H42))</f>
        <v/>
      </c>
      <c r="K42" s="992"/>
      <c r="L42" s="993"/>
      <c r="M42" s="993"/>
      <c r="N42" s="994"/>
      <c r="O42" s="1250" t="str">
        <f ca="1">IF(IBRF!B30="","",IBRF!B30)</f>
        <v/>
      </c>
      <c r="P42" s="667"/>
      <c r="Q42" s="668"/>
      <c r="R42" s="668"/>
      <c r="S42" s="668"/>
      <c r="T42" s="668"/>
      <c r="U42" s="669"/>
      <c r="V42" s="670"/>
      <c r="W42" s="43"/>
      <c r="X42" s="1020" t="str">
        <f>IF(COUNTA(P42:V42)=0,"",COUNTA(P42:V42))</f>
        <v/>
      </c>
      <c r="Y42" s="49" t="s">
        <v>248</v>
      </c>
      <c r="Z42" s="1250" t="str">
        <f ca="1">IF(IBRF!H30="","",IBRF!H30)</f>
        <v/>
      </c>
      <c r="AA42" s="667"/>
      <c r="AB42" s="668"/>
      <c r="AC42" s="668"/>
      <c r="AD42" s="668"/>
      <c r="AE42" s="668"/>
      <c r="AF42" s="669"/>
      <c r="AG42" s="670"/>
      <c r="AH42" s="43"/>
      <c r="AI42" s="1020" t="str">
        <f>IF(COUNTA(AA42:AG42)=0,"",COUNTA(AA42:AG42))</f>
        <v/>
      </c>
      <c r="AJ42" s="992"/>
      <c r="AK42" s="993"/>
      <c r="AL42" s="993"/>
      <c r="AM42" s="994"/>
      <c r="AN42" s="1250" t="str">
        <f ca="1">IF(IBRF!H30="","",IBRF!H30)</f>
        <v/>
      </c>
      <c r="AO42" s="667"/>
      <c r="AP42" s="668"/>
      <c r="AQ42" s="668"/>
      <c r="AR42" s="668"/>
      <c r="AS42" s="668"/>
      <c r="AT42" s="669"/>
      <c r="AU42" s="670"/>
      <c r="AV42" s="43"/>
      <c r="AW42" s="1020" t="str">
        <f>IF(COUNTA(AO42:AU42)=0,"",COUNTA(AO42:AU42))</f>
        <v/>
      </c>
      <c r="AX42" s="49" t="s">
        <v>248</v>
      </c>
      <c r="AZ42" s="33"/>
    </row>
    <row r="43" spans="1:52" ht="17.75" customHeight="1" thickBot="1">
      <c r="A43" s="1251"/>
      <c r="B43" s="671"/>
      <c r="C43" s="672"/>
      <c r="D43" s="672"/>
      <c r="E43" s="672"/>
      <c r="F43" s="672"/>
      <c r="G43" s="673"/>
      <c r="H43" s="674"/>
      <c r="I43" s="41"/>
      <c r="J43" s="1021"/>
      <c r="K43" s="989"/>
      <c r="L43" s="990"/>
      <c r="M43" s="990"/>
      <c r="N43" s="991"/>
      <c r="O43" s="1251"/>
      <c r="P43" s="671"/>
      <c r="Q43" s="672"/>
      <c r="R43" s="672"/>
      <c r="S43" s="672"/>
      <c r="T43" s="672"/>
      <c r="U43" s="673"/>
      <c r="V43" s="674"/>
      <c r="W43" s="41"/>
      <c r="X43" s="1021"/>
      <c r="Y43" s="52" t="s">
        <v>249</v>
      </c>
      <c r="Z43" s="1251"/>
      <c r="AA43" s="671"/>
      <c r="AB43" s="672"/>
      <c r="AC43" s="672"/>
      <c r="AD43" s="672"/>
      <c r="AE43" s="672"/>
      <c r="AF43" s="673"/>
      <c r="AG43" s="674"/>
      <c r="AH43" s="41"/>
      <c r="AI43" s="1021"/>
      <c r="AJ43" s="989"/>
      <c r="AK43" s="990"/>
      <c r="AL43" s="990"/>
      <c r="AM43" s="991"/>
      <c r="AN43" s="1251"/>
      <c r="AO43" s="671"/>
      <c r="AP43" s="672"/>
      <c r="AQ43" s="672"/>
      <c r="AR43" s="672"/>
      <c r="AS43" s="672"/>
      <c r="AT43" s="673"/>
      <c r="AU43" s="674"/>
      <c r="AV43" s="41"/>
      <c r="AW43" s="1021"/>
      <c r="AX43" s="52" t="s">
        <v>249</v>
      </c>
      <c r="AZ43" s="33"/>
    </row>
    <row r="44" spans="1:52" s="53" customFormat="1" ht="23.25" customHeight="1" thickBot="1">
      <c r="A44" s="1248" t="s">
        <v>295</v>
      </c>
      <c r="B44" s="1249"/>
      <c r="C44" s="1249"/>
      <c r="D44" s="1249"/>
      <c r="E44" s="1249"/>
      <c r="F44" s="1249"/>
      <c r="G44" s="1249"/>
      <c r="H44" s="1249"/>
      <c r="I44" s="1249"/>
      <c r="J44" s="459" t="str">
        <f>IF(SUM(J4:J43)=0,"",SUM(J4:J43))</f>
        <v/>
      </c>
      <c r="K44" s="1262"/>
      <c r="L44" s="1263"/>
      <c r="M44" s="1263"/>
      <c r="N44" s="1264"/>
      <c r="O44" s="1248" t="s">
        <v>295</v>
      </c>
      <c r="P44" s="1249"/>
      <c r="Q44" s="1249"/>
      <c r="R44" s="1249"/>
      <c r="S44" s="1249"/>
      <c r="T44" s="1249"/>
      <c r="U44" s="1249"/>
      <c r="V44" s="1249"/>
      <c r="W44" s="1249"/>
      <c r="X44" s="459" t="str">
        <f>IF(SUM(X4:X43)=0,"",SUM(X4:X43))</f>
        <v/>
      </c>
      <c r="Y44" s="313" t="s">
        <v>185</v>
      </c>
      <c r="Z44" s="1248" t="s">
        <v>295</v>
      </c>
      <c r="AA44" s="1249"/>
      <c r="AB44" s="1249"/>
      <c r="AC44" s="1249"/>
      <c r="AD44" s="1249"/>
      <c r="AE44" s="1249"/>
      <c r="AF44" s="1249"/>
      <c r="AG44" s="1249"/>
      <c r="AH44" s="1249"/>
      <c r="AI44" s="459" t="str">
        <f>IF(SUM(AI4:AI43)=0,"",SUM(AI4:AI43))</f>
        <v/>
      </c>
      <c r="AJ44" s="1262"/>
      <c r="AK44" s="1263"/>
      <c r="AL44" s="1263"/>
      <c r="AM44" s="1264"/>
      <c r="AN44" s="1248" t="s">
        <v>295</v>
      </c>
      <c r="AO44" s="1249"/>
      <c r="AP44" s="1249"/>
      <c r="AQ44" s="1249"/>
      <c r="AR44" s="1249"/>
      <c r="AS44" s="1249"/>
      <c r="AT44" s="1249"/>
      <c r="AU44" s="1249"/>
      <c r="AV44" s="1249"/>
      <c r="AW44" s="459" t="str">
        <f>IF(SUM(AW4:AW43)=0,"",SUM(AW4:AW43))</f>
        <v/>
      </c>
      <c r="AX44" s="313" t="s">
        <v>185</v>
      </c>
    </row>
    <row r="45" spans="1:52" ht="16">
      <c r="A45" s="1256" t="s">
        <v>437</v>
      </c>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8"/>
      <c r="Z45" s="1256" t="s">
        <v>437</v>
      </c>
      <c r="AA45" s="1257"/>
      <c r="AB45" s="1257"/>
      <c r="AC45" s="1257"/>
      <c r="AD45" s="1257"/>
      <c r="AE45" s="1257"/>
      <c r="AF45" s="1257"/>
      <c r="AG45" s="1257"/>
      <c r="AH45" s="1257"/>
      <c r="AI45" s="1257"/>
      <c r="AJ45" s="1257"/>
      <c r="AK45" s="1257"/>
      <c r="AL45" s="1257"/>
      <c r="AM45" s="1257"/>
      <c r="AN45" s="1257"/>
      <c r="AO45" s="1257"/>
      <c r="AP45" s="1257"/>
      <c r="AQ45" s="1257"/>
      <c r="AR45" s="1257"/>
      <c r="AS45" s="1257"/>
      <c r="AT45" s="1257"/>
      <c r="AU45" s="1257"/>
      <c r="AV45" s="1257"/>
      <c r="AW45" s="1257"/>
      <c r="AX45" s="1258"/>
      <c r="AZ45" s="33"/>
    </row>
    <row r="46" spans="1:52" ht="16">
      <c r="A46" s="1256" t="s">
        <v>436</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8"/>
      <c r="Z46" s="1256" t="s">
        <v>436</v>
      </c>
      <c r="AA46" s="1257"/>
      <c r="AB46" s="1257"/>
      <c r="AC46" s="1257"/>
      <c r="AD46" s="1257"/>
      <c r="AE46" s="1257"/>
      <c r="AF46" s="1257"/>
      <c r="AG46" s="1257"/>
      <c r="AH46" s="1257"/>
      <c r="AI46" s="1257"/>
      <c r="AJ46" s="1257"/>
      <c r="AK46" s="1257"/>
      <c r="AL46" s="1257"/>
      <c r="AM46" s="1257"/>
      <c r="AN46" s="1257"/>
      <c r="AO46" s="1257"/>
      <c r="AP46" s="1257"/>
      <c r="AQ46" s="1257"/>
      <c r="AR46" s="1257"/>
      <c r="AS46" s="1257"/>
      <c r="AT46" s="1257"/>
      <c r="AU46" s="1257"/>
      <c r="AV46" s="1257"/>
      <c r="AW46" s="1257"/>
      <c r="AX46" s="1258"/>
      <c r="AZ46" s="33"/>
    </row>
    <row r="47" spans="1:52" ht="16">
      <c r="A47" s="1259" t="s">
        <v>345</v>
      </c>
      <c r="B47" s="1260"/>
      <c r="C47" s="1260"/>
      <c r="D47" s="1260"/>
      <c r="E47" s="1260"/>
      <c r="F47" s="1260"/>
      <c r="G47" s="1260"/>
      <c r="H47" s="1260"/>
      <c r="I47" s="1260"/>
      <c r="J47" s="1260"/>
      <c r="K47" s="1260"/>
      <c r="L47" s="1260"/>
      <c r="M47" s="1260"/>
      <c r="N47" s="1260"/>
      <c r="O47" s="1260"/>
      <c r="P47" s="1260"/>
      <c r="Q47" s="1260"/>
      <c r="R47" s="1260"/>
      <c r="S47" s="1260"/>
      <c r="T47" s="1260"/>
      <c r="U47" s="1260"/>
      <c r="V47" s="1260"/>
      <c r="W47" s="1260"/>
      <c r="X47" s="1260"/>
      <c r="Y47" s="1261"/>
      <c r="Z47" s="1259" t="s">
        <v>345</v>
      </c>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1"/>
      <c r="AZ47" s="33"/>
    </row>
    <row r="48" spans="1:52" ht="17" thickBot="1">
      <c r="A48" s="1253" t="s">
        <v>496</v>
      </c>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5"/>
      <c r="Z48" s="1253" t="s">
        <v>496</v>
      </c>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5"/>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T4" sqref="T4:T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67" t="s">
        <v>405</v>
      </c>
      <c r="B1" s="1267"/>
      <c r="C1" s="1267"/>
      <c r="D1" s="1267"/>
      <c r="E1" s="1267"/>
      <c r="F1" s="1267"/>
      <c r="G1" s="1267"/>
      <c r="H1" s="1279">
        <f ca="1">IF(ISBLANK(IBRF!$B$5), "", IBRF!$B$5)</f>
        <v>41377</v>
      </c>
      <c r="I1" s="1279"/>
      <c r="J1" s="1279"/>
      <c r="K1" s="1277" t="str">
        <f ca="1">Score!$A$1</f>
        <v>Detroit Pistoffs</v>
      </c>
      <c r="L1" s="1277"/>
      <c r="M1" s="1277"/>
      <c r="N1" s="1277"/>
      <c r="O1" s="1277"/>
      <c r="P1" s="1277"/>
      <c r="Q1" s="1277"/>
      <c r="R1" s="1277"/>
      <c r="S1" s="1277"/>
      <c r="T1" s="1276" t="s">
        <v>134</v>
      </c>
      <c r="U1" s="1276"/>
      <c r="V1" s="1276"/>
      <c r="W1" s="1276"/>
      <c r="X1" s="1276"/>
      <c r="Y1" s="1276"/>
      <c r="Z1" s="1276"/>
      <c r="AA1" s="1276"/>
      <c r="AB1" s="1276"/>
      <c r="AC1" s="1281" t="s">
        <v>695</v>
      </c>
      <c r="AD1" s="1281"/>
      <c r="AE1" s="1281"/>
      <c r="AF1" s="1281"/>
      <c r="AG1" s="1281"/>
      <c r="AH1" s="1281"/>
      <c r="AI1" s="1281"/>
      <c r="AJ1" s="18">
        <v>1</v>
      </c>
      <c r="AR1" s="1267" t="s">
        <v>405</v>
      </c>
      <c r="AS1" s="1267"/>
      <c r="AT1" s="1267"/>
      <c r="AU1" s="1267"/>
      <c r="AV1" s="1267"/>
      <c r="AW1" s="1267"/>
      <c r="AX1" s="1267"/>
      <c r="AY1" s="1279">
        <f ca="1">IF(ISBLANK(IBRF!$B$5), "", IBRF!$B$5)</f>
        <v>41377</v>
      </c>
      <c r="AZ1" s="1279"/>
      <c r="BA1" s="1279"/>
      <c r="BB1" s="1295" t="str">
        <f ca="1">Score!$T$1</f>
        <v>Pistolwhippers</v>
      </c>
      <c r="BC1" s="1295"/>
      <c r="BD1" s="1295"/>
      <c r="BE1" s="1295"/>
      <c r="BF1" s="1295"/>
      <c r="BG1" s="1295"/>
      <c r="BH1" s="1295"/>
      <c r="BI1" s="1295"/>
      <c r="BJ1" s="1295"/>
      <c r="BK1" s="1276" t="s">
        <v>147</v>
      </c>
      <c r="BL1" s="1276"/>
      <c r="BM1" s="1276"/>
      <c r="BN1" s="1276"/>
      <c r="BO1" s="1276"/>
      <c r="BP1" s="1276"/>
      <c r="BQ1" s="1276"/>
      <c r="BR1" s="1276"/>
      <c r="BS1" s="1276"/>
      <c r="BT1" s="1281" t="s">
        <v>697</v>
      </c>
      <c r="BU1" s="1281"/>
      <c r="BV1" s="1281"/>
      <c r="BW1" s="1281"/>
      <c r="BX1" s="1281"/>
      <c r="BY1" s="1281"/>
      <c r="BZ1" s="1281"/>
      <c r="CA1" s="18">
        <v>1</v>
      </c>
    </row>
    <row r="2" spans="1:79" ht="15" customHeight="1" thickBot="1">
      <c r="A2" s="1268" t="s">
        <v>702</v>
      </c>
      <c r="B2" s="1268"/>
      <c r="C2" s="1268"/>
      <c r="D2" s="1268"/>
      <c r="E2" s="1268"/>
      <c r="F2" s="1268"/>
      <c r="G2" s="1268"/>
      <c r="H2" s="1283" t="s">
        <v>577</v>
      </c>
      <c r="I2" s="1283"/>
      <c r="J2" s="1283"/>
      <c r="K2" s="1278"/>
      <c r="L2" s="1278"/>
      <c r="M2" s="1278"/>
      <c r="N2" s="1278"/>
      <c r="O2" s="1278"/>
      <c r="P2" s="1278"/>
      <c r="Q2" s="1278"/>
      <c r="R2" s="1278"/>
      <c r="S2" s="1278"/>
      <c r="T2" s="1280" t="s">
        <v>498</v>
      </c>
      <c r="U2" s="1280"/>
      <c r="V2" s="1280"/>
      <c r="W2" s="1280"/>
      <c r="X2" s="1280"/>
      <c r="Y2" s="1280"/>
      <c r="Z2" s="1280"/>
      <c r="AA2" s="1280"/>
      <c r="AB2" s="1280"/>
      <c r="AC2" s="1282" t="s">
        <v>502</v>
      </c>
      <c r="AD2" s="1282"/>
      <c r="AE2" s="1282"/>
      <c r="AF2" s="1282"/>
      <c r="AG2" s="1282"/>
      <c r="AH2" s="1282"/>
      <c r="AI2" s="1282"/>
      <c r="AJ2" s="21" t="str">
        <f ca="1">IF(ISBLANK(Score!$R$2), "", Score!$R$2)</f>
        <v>BOUT 199</v>
      </c>
      <c r="AR2" s="1268" t="str">
        <f>A2</f>
        <v>Rev. 130308 © 2013 WFTDA</v>
      </c>
      <c r="AS2" s="1268"/>
      <c r="AT2" s="1268"/>
      <c r="AU2" s="1268"/>
      <c r="AV2" s="1268"/>
      <c r="AW2" s="1268"/>
      <c r="AX2" s="1268"/>
      <c r="AY2" s="1283" t="s">
        <v>577</v>
      </c>
      <c r="AZ2" s="1283"/>
      <c r="BA2" s="1283"/>
      <c r="BB2" s="1296"/>
      <c r="BC2" s="1296"/>
      <c r="BD2" s="1296"/>
      <c r="BE2" s="1296"/>
      <c r="BF2" s="1296"/>
      <c r="BG2" s="1296"/>
      <c r="BH2" s="1296"/>
      <c r="BI2" s="1296"/>
      <c r="BJ2" s="1296"/>
      <c r="BK2" s="1280" t="s">
        <v>498</v>
      </c>
      <c r="BL2" s="1280"/>
      <c r="BM2" s="1280"/>
      <c r="BN2" s="1280"/>
      <c r="BO2" s="1280"/>
      <c r="BP2" s="1280"/>
      <c r="BQ2" s="1280"/>
      <c r="BR2" s="1280"/>
      <c r="BS2" s="1280"/>
      <c r="BT2" s="1282" t="s">
        <v>502</v>
      </c>
      <c r="BU2" s="1282"/>
      <c r="BV2" s="1282"/>
      <c r="BW2" s="1282"/>
      <c r="BX2" s="1282"/>
      <c r="BY2" s="1282"/>
      <c r="BZ2" s="1282"/>
      <c r="CA2" s="21" t="str">
        <f ca="1">IF(ISBLANK(Score!$R$2), "", Score!$R$2)</f>
        <v>BOUT 199</v>
      </c>
    </row>
    <row r="3" spans="1:79" ht="27" thickBot="1">
      <c r="A3" s="162" t="s">
        <v>393</v>
      </c>
      <c r="B3" s="163" t="s">
        <v>394</v>
      </c>
      <c r="C3" s="164" t="s">
        <v>395</v>
      </c>
      <c r="D3" s="165" t="s">
        <v>396</v>
      </c>
      <c r="E3" s="165" t="s">
        <v>397</v>
      </c>
      <c r="F3" s="165" t="s">
        <v>398</v>
      </c>
      <c r="G3" s="166" t="s">
        <v>399</v>
      </c>
      <c r="H3" s="167" t="s">
        <v>400</v>
      </c>
      <c r="I3" s="1291" t="s">
        <v>439</v>
      </c>
      <c r="J3" s="1292"/>
      <c r="K3" s="168" t="s">
        <v>401</v>
      </c>
      <c r="L3" s="1297" t="s">
        <v>439</v>
      </c>
      <c r="M3" s="1297"/>
      <c r="N3" s="168" t="s">
        <v>402</v>
      </c>
      <c r="O3" s="1297" t="s">
        <v>439</v>
      </c>
      <c r="P3" s="1297"/>
      <c r="Q3" s="168" t="s">
        <v>451</v>
      </c>
      <c r="R3" s="1297" t="s">
        <v>439</v>
      </c>
      <c r="S3" s="1297"/>
      <c r="T3" s="168" t="s">
        <v>452</v>
      </c>
      <c r="U3" s="1297" t="s">
        <v>439</v>
      </c>
      <c r="V3" s="1297"/>
      <c r="W3" s="168" t="s">
        <v>453</v>
      </c>
      <c r="X3" s="1290" t="s">
        <v>439</v>
      </c>
      <c r="Y3" s="1290"/>
      <c r="Z3" s="168" t="s">
        <v>454</v>
      </c>
      <c r="AA3" s="1291" t="s">
        <v>439</v>
      </c>
      <c r="AB3" s="1292"/>
      <c r="AC3" s="168" t="s">
        <v>447</v>
      </c>
      <c r="AD3" s="1290" t="s">
        <v>439</v>
      </c>
      <c r="AE3" s="1290"/>
      <c r="AF3" s="168" t="s">
        <v>448</v>
      </c>
      <c r="AG3" s="1291" t="s">
        <v>439</v>
      </c>
      <c r="AH3" s="1292"/>
      <c r="AI3" s="169" t="s">
        <v>455</v>
      </c>
      <c r="AJ3" s="170" t="s">
        <v>521</v>
      </c>
      <c r="AK3" s="171" t="s">
        <v>522</v>
      </c>
      <c r="AL3" s="172" t="s">
        <v>440</v>
      </c>
      <c r="AM3" s="173" t="s">
        <v>441</v>
      </c>
      <c r="AN3" s="173" t="s">
        <v>442</v>
      </c>
      <c r="AO3" s="173" t="s">
        <v>443</v>
      </c>
      <c r="AP3" s="174" t="s">
        <v>444</v>
      </c>
      <c r="AQ3" s="175" t="s">
        <v>445</v>
      </c>
      <c r="AR3" s="162" t="s">
        <v>393</v>
      </c>
      <c r="AS3" s="163" t="s">
        <v>394</v>
      </c>
      <c r="AT3" s="164" t="s">
        <v>395</v>
      </c>
      <c r="AU3" s="165" t="s">
        <v>396</v>
      </c>
      <c r="AV3" s="165" t="s">
        <v>397</v>
      </c>
      <c r="AW3" s="165" t="s">
        <v>398</v>
      </c>
      <c r="AX3" s="166" t="s">
        <v>399</v>
      </c>
      <c r="AY3" s="167" t="s">
        <v>400</v>
      </c>
      <c r="AZ3" s="1297" t="s">
        <v>439</v>
      </c>
      <c r="BA3" s="1297"/>
      <c r="BB3" s="168" t="s">
        <v>401</v>
      </c>
      <c r="BC3" s="1297" t="s">
        <v>439</v>
      </c>
      <c r="BD3" s="1297"/>
      <c r="BE3" s="168" t="s">
        <v>402</v>
      </c>
      <c r="BF3" s="1297" t="s">
        <v>439</v>
      </c>
      <c r="BG3" s="1297"/>
      <c r="BH3" s="168" t="s">
        <v>451</v>
      </c>
      <c r="BI3" s="1297" t="s">
        <v>439</v>
      </c>
      <c r="BJ3" s="1297"/>
      <c r="BK3" s="168" t="s">
        <v>452</v>
      </c>
      <c r="BL3" s="1297" t="s">
        <v>439</v>
      </c>
      <c r="BM3" s="1297"/>
      <c r="BN3" s="168" t="s">
        <v>453</v>
      </c>
      <c r="BO3" s="1290" t="s">
        <v>439</v>
      </c>
      <c r="BP3" s="1290"/>
      <c r="BQ3" s="168" t="s">
        <v>454</v>
      </c>
      <c r="BR3" s="1291" t="s">
        <v>439</v>
      </c>
      <c r="BS3" s="1292"/>
      <c r="BT3" s="168" t="s">
        <v>447</v>
      </c>
      <c r="BU3" s="1290" t="s">
        <v>439</v>
      </c>
      <c r="BV3" s="1290"/>
      <c r="BW3" s="168" t="s">
        <v>448</v>
      </c>
      <c r="BX3" s="1297" t="s">
        <v>439</v>
      </c>
      <c r="BY3" s="1297"/>
      <c r="BZ3" s="169" t="s">
        <v>455</v>
      </c>
      <c r="CA3" s="170" t="s">
        <v>521</v>
      </c>
    </row>
    <row r="4" spans="1:79" ht="14.25" customHeight="1" thickBot="1">
      <c r="A4" s="1301">
        <v>1</v>
      </c>
      <c r="B4" s="1302" t="s">
        <v>223</v>
      </c>
      <c r="C4" s="1303"/>
      <c r="D4" s="1269"/>
      <c r="E4" s="1269"/>
      <c r="F4" s="1269"/>
      <c r="G4" s="1270"/>
      <c r="H4" s="1306">
        <v>0</v>
      </c>
      <c r="I4" s="654"/>
      <c r="J4" s="655"/>
      <c r="K4" s="1304"/>
      <c r="L4" s="654"/>
      <c r="M4" s="655"/>
      <c r="N4" s="1304"/>
      <c r="O4" s="654"/>
      <c r="P4" s="655"/>
      <c r="Q4" s="1304"/>
      <c r="R4" s="654"/>
      <c r="S4" s="655"/>
      <c r="T4" s="1304"/>
      <c r="U4" s="654"/>
      <c r="V4" s="655"/>
      <c r="W4" s="1304"/>
      <c r="X4" s="654"/>
      <c r="Y4" s="655"/>
      <c r="Z4" s="1304"/>
      <c r="AA4" s="654"/>
      <c r="AB4" s="655"/>
      <c r="AC4" s="1304"/>
      <c r="AD4" s="654"/>
      <c r="AE4" s="655"/>
      <c r="AF4" s="1304"/>
      <c r="AG4" s="654"/>
      <c r="AH4" s="655"/>
      <c r="AI4" s="1305">
        <v>0</v>
      </c>
      <c r="AJ4" s="1300">
        <v>0</v>
      </c>
      <c r="AK4" s="1289">
        <v>0</v>
      </c>
      <c r="AL4" s="1298">
        <v>0</v>
      </c>
      <c r="AM4" s="1289">
        <v>0</v>
      </c>
      <c r="AN4" s="1289">
        <v>0</v>
      </c>
      <c r="AO4" s="1289">
        <v>0</v>
      </c>
      <c r="AP4" s="1289">
        <v>0</v>
      </c>
      <c r="AQ4" s="1294">
        <v>0</v>
      </c>
      <c r="AR4" s="1272">
        <v>1</v>
      </c>
      <c r="AS4" s="1273" t="s">
        <v>241</v>
      </c>
      <c r="AT4" s="1274"/>
      <c r="AU4" s="1275" t="s">
        <v>531</v>
      </c>
      <c r="AV4" s="1275" t="s">
        <v>531</v>
      </c>
      <c r="AW4" s="1275"/>
      <c r="AX4" s="1310"/>
      <c r="AY4" s="1311">
        <v>0</v>
      </c>
      <c r="AZ4" s="656"/>
      <c r="BA4" s="657"/>
      <c r="BB4" s="1293"/>
      <c r="BC4" s="656"/>
      <c r="BD4" s="657"/>
      <c r="BE4" s="1293"/>
      <c r="BF4" s="656"/>
      <c r="BG4" s="657"/>
      <c r="BH4" s="1293"/>
      <c r="BI4" s="656"/>
      <c r="BJ4" s="657"/>
      <c r="BK4" s="1293"/>
      <c r="BL4" s="656"/>
      <c r="BM4" s="657"/>
      <c r="BN4" s="1293"/>
      <c r="BO4" s="656"/>
      <c r="BP4" s="657"/>
      <c r="BQ4" s="1293"/>
      <c r="BR4" s="656"/>
      <c r="BS4" s="657"/>
      <c r="BT4" s="1293"/>
      <c r="BU4" s="656"/>
      <c r="BV4" s="657"/>
      <c r="BW4" s="1293"/>
      <c r="BX4" s="656"/>
      <c r="BY4" s="657"/>
      <c r="BZ4" s="1299">
        <v>0</v>
      </c>
      <c r="CA4" s="1307">
        <v>0</v>
      </c>
    </row>
    <row r="5" spans="1:79" ht="14.25" customHeight="1">
      <c r="A5" s="1301"/>
      <c r="B5" s="1302"/>
      <c r="C5" s="1303"/>
      <c r="D5" s="1269"/>
      <c r="E5" s="1269"/>
      <c r="F5" s="1269"/>
      <c r="G5" s="1271"/>
      <c r="H5" s="1306"/>
      <c r="I5" s="656"/>
      <c r="J5" s="657"/>
      <c r="K5" s="1304"/>
      <c r="L5" s="656"/>
      <c r="M5" s="657"/>
      <c r="N5" s="1304"/>
      <c r="O5" s="656"/>
      <c r="P5" s="657"/>
      <c r="Q5" s="1304"/>
      <c r="R5" s="656"/>
      <c r="S5" s="657"/>
      <c r="T5" s="1304"/>
      <c r="U5" s="656"/>
      <c r="V5" s="657"/>
      <c r="W5" s="1304"/>
      <c r="X5" s="656"/>
      <c r="Y5" s="657"/>
      <c r="Z5" s="1304"/>
      <c r="AA5" s="656"/>
      <c r="AB5" s="657"/>
      <c r="AC5" s="1304"/>
      <c r="AD5" s="656"/>
      <c r="AE5" s="657"/>
      <c r="AF5" s="1304"/>
      <c r="AG5" s="656"/>
      <c r="AH5" s="657"/>
      <c r="AI5" s="1305"/>
      <c r="AJ5" s="1300"/>
      <c r="AK5" s="1289"/>
      <c r="AL5" s="1298"/>
      <c r="AM5" s="1289"/>
      <c r="AN5" s="1289"/>
      <c r="AO5" s="1289"/>
      <c r="AP5" s="1289"/>
      <c r="AQ5" s="1294"/>
      <c r="AR5" s="1272"/>
      <c r="AS5" s="1273"/>
      <c r="AT5" s="1274"/>
      <c r="AU5" s="1275"/>
      <c r="AV5" s="1275"/>
      <c r="AW5" s="1275"/>
      <c r="AX5" s="1310"/>
      <c r="AY5" s="1311"/>
      <c r="AZ5" s="656"/>
      <c r="BA5" s="657"/>
      <c r="BB5" s="1293"/>
      <c r="BC5" s="656"/>
      <c r="BD5" s="657"/>
      <c r="BE5" s="1293"/>
      <c r="BF5" s="656"/>
      <c r="BG5" s="657"/>
      <c r="BH5" s="1293"/>
      <c r="BI5" s="656"/>
      <c r="BJ5" s="657"/>
      <c r="BK5" s="1293"/>
      <c r="BL5" s="656"/>
      <c r="BM5" s="657"/>
      <c r="BN5" s="1293"/>
      <c r="BO5" s="656"/>
      <c r="BP5" s="657"/>
      <c r="BQ5" s="1293"/>
      <c r="BR5" s="656"/>
      <c r="BS5" s="657"/>
      <c r="BT5" s="1293"/>
      <c r="BU5" s="656"/>
      <c r="BV5" s="657"/>
      <c r="BW5" s="1293"/>
      <c r="BX5" s="656"/>
      <c r="BY5" s="657"/>
      <c r="BZ5" s="1299"/>
      <c r="CA5" s="1307"/>
    </row>
    <row r="6" spans="1:79" ht="14.25" customHeight="1">
      <c r="A6" s="1308">
        <v>2</v>
      </c>
      <c r="B6" s="1287" t="s">
        <v>59</v>
      </c>
      <c r="C6" s="1288"/>
      <c r="D6" s="1284" t="s">
        <v>531</v>
      </c>
      <c r="E6" s="1284" t="s">
        <v>531</v>
      </c>
      <c r="F6" s="1284"/>
      <c r="G6" s="1309"/>
      <c r="H6" s="1274">
        <v>4</v>
      </c>
      <c r="I6" s="176" t="s">
        <v>527</v>
      </c>
      <c r="J6" s="657"/>
      <c r="K6" s="1275"/>
      <c r="L6" s="176"/>
      <c r="M6" s="657"/>
      <c r="N6" s="1275"/>
      <c r="O6" s="176"/>
      <c r="P6" s="657"/>
      <c r="Q6" s="1275"/>
      <c r="R6" s="176"/>
      <c r="S6" s="657"/>
      <c r="T6" s="1275"/>
      <c r="U6" s="176"/>
      <c r="V6" s="657"/>
      <c r="W6" s="1275"/>
      <c r="X6" s="176"/>
      <c r="Y6" s="657"/>
      <c r="Z6" s="1275"/>
      <c r="AA6" s="176"/>
      <c r="AB6" s="657"/>
      <c r="AC6" s="1275"/>
      <c r="AD6" s="176"/>
      <c r="AE6" s="657"/>
      <c r="AF6" s="1275"/>
      <c r="AG6" s="176"/>
      <c r="AH6" s="657"/>
      <c r="AI6" s="1312">
        <v>4</v>
      </c>
      <c r="AJ6" s="1307">
        <v>4</v>
      </c>
      <c r="AK6" s="1289">
        <v>0</v>
      </c>
      <c r="AL6" s="1298">
        <v>0</v>
      </c>
      <c r="AM6" s="1289">
        <v>0</v>
      </c>
      <c r="AN6" s="1289">
        <v>0</v>
      </c>
      <c r="AO6" s="1289">
        <v>0</v>
      </c>
      <c r="AP6" s="1289">
        <v>0</v>
      </c>
      <c r="AQ6" s="1294">
        <v>0</v>
      </c>
      <c r="AR6" s="1308">
        <v>2</v>
      </c>
      <c r="AS6" s="1287" t="s">
        <v>239</v>
      </c>
      <c r="AT6" s="1288"/>
      <c r="AU6" s="1284"/>
      <c r="AV6" s="1284"/>
      <c r="AW6" s="1284"/>
      <c r="AX6" s="1285"/>
      <c r="AY6" s="1274">
        <v>0</v>
      </c>
      <c r="AZ6" s="176"/>
      <c r="BA6" s="657"/>
      <c r="BB6" s="1275"/>
      <c r="BC6" s="176"/>
      <c r="BD6" s="657"/>
      <c r="BE6" s="1275"/>
      <c r="BF6" s="176"/>
      <c r="BG6" s="657"/>
      <c r="BH6" s="1275"/>
      <c r="BI6" s="176"/>
      <c r="BJ6" s="657"/>
      <c r="BK6" s="1275"/>
      <c r="BL6" s="176"/>
      <c r="BM6" s="657"/>
      <c r="BN6" s="1275"/>
      <c r="BO6" s="176"/>
      <c r="BP6" s="657"/>
      <c r="BQ6" s="1275"/>
      <c r="BR6" s="176"/>
      <c r="BS6" s="657"/>
      <c r="BT6" s="1275"/>
      <c r="BU6" s="176"/>
      <c r="BV6" s="657"/>
      <c r="BW6" s="1275"/>
      <c r="BX6" s="176"/>
      <c r="BY6" s="657"/>
      <c r="BZ6" s="1312">
        <v>0</v>
      </c>
      <c r="CA6" s="1307">
        <v>0</v>
      </c>
    </row>
    <row r="7" spans="1:79" ht="14.25" customHeight="1">
      <c r="A7" s="1308"/>
      <c r="B7" s="1287"/>
      <c r="C7" s="1288"/>
      <c r="D7" s="1284"/>
      <c r="E7" s="1284"/>
      <c r="F7" s="1284"/>
      <c r="G7" s="1309"/>
      <c r="H7" s="1274"/>
      <c r="I7" s="176"/>
      <c r="J7" s="657"/>
      <c r="K7" s="1275"/>
      <c r="L7" s="176"/>
      <c r="M7" s="657"/>
      <c r="N7" s="1275"/>
      <c r="O7" s="176"/>
      <c r="P7" s="657"/>
      <c r="Q7" s="1275"/>
      <c r="R7" s="176"/>
      <c r="S7" s="657"/>
      <c r="T7" s="1275"/>
      <c r="U7" s="176"/>
      <c r="V7" s="657"/>
      <c r="W7" s="1275"/>
      <c r="X7" s="176"/>
      <c r="Y7" s="657"/>
      <c r="Z7" s="1275"/>
      <c r="AA7" s="176"/>
      <c r="AB7" s="657"/>
      <c r="AC7" s="1275"/>
      <c r="AD7" s="176"/>
      <c r="AE7" s="657"/>
      <c r="AF7" s="1275"/>
      <c r="AG7" s="176"/>
      <c r="AH7" s="657"/>
      <c r="AI7" s="1312"/>
      <c r="AJ7" s="1307"/>
      <c r="AK7" s="1289"/>
      <c r="AL7" s="1298"/>
      <c r="AM7" s="1289"/>
      <c r="AN7" s="1289"/>
      <c r="AO7" s="1289"/>
      <c r="AP7" s="1289"/>
      <c r="AQ7" s="1294"/>
      <c r="AR7" s="1308"/>
      <c r="AS7" s="1287"/>
      <c r="AT7" s="1288"/>
      <c r="AU7" s="1284"/>
      <c r="AV7" s="1284"/>
      <c r="AW7" s="1284"/>
      <c r="AX7" s="1286"/>
      <c r="AY7" s="1274"/>
      <c r="AZ7" s="176"/>
      <c r="BA7" s="657"/>
      <c r="BB7" s="1275"/>
      <c r="BC7" s="176"/>
      <c r="BD7" s="657"/>
      <c r="BE7" s="1275"/>
      <c r="BF7" s="176"/>
      <c r="BG7" s="657"/>
      <c r="BH7" s="1275"/>
      <c r="BI7" s="176"/>
      <c r="BJ7" s="657"/>
      <c r="BK7" s="1275"/>
      <c r="BL7" s="176"/>
      <c r="BM7" s="657"/>
      <c r="BN7" s="1275"/>
      <c r="BO7" s="176"/>
      <c r="BP7" s="657"/>
      <c r="BQ7" s="1275"/>
      <c r="BR7" s="176"/>
      <c r="BS7" s="657"/>
      <c r="BT7" s="1275"/>
      <c r="BU7" s="176"/>
      <c r="BV7" s="657"/>
      <c r="BW7" s="1275"/>
      <c r="BX7" s="176"/>
      <c r="BY7" s="657"/>
      <c r="BZ7" s="1313"/>
      <c r="CA7" s="1307"/>
    </row>
    <row r="8" spans="1:79" ht="14.25" customHeight="1">
      <c r="A8" s="1272">
        <v>3</v>
      </c>
      <c r="B8" s="1273" t="s">
        <v>221</v>
      </c>
      <c r="C8" s="1274"/>
      <c r="D8" s="1275" t="s">
        <v>531</v>
      </c>
      <c r="E8" s="1275" t="s">
        <v>531</v>
      </c>
      <c r="F8" s="1275"/>
      <c r="G8" s="1310"/>
      <c r="H8" s="1311">
        <v>4</v>
      </c>
      <c r="I8" s="656" t="s">
        <v>527</v>
      </c>
      <c r="J8" s="657"/>
      <c r="K8" s="1293"/>
      <c r="L8" s="656"/>
      <c r="M8" s="657"/>
      <c r="N8" s="1293"/>
      <c r="O8" s="656"/>
      <c r="P8" s="657"/>
      <c r="Q8" s="1293"/>
      <c r="R8" s="656"/>
      <c r="S8" s="657"/>
      <c r="T8" s="1293"/>
      <c r="U8" s="656"/>
      <c r="V8" s="657"/>
      <c r="W8" s="1293"/>
      <c r="X8" s="656"/>
      <c r="Y8" s="657"/>
      <c r="Z8" s="1293"/>
      <c r="AA8" s="656"/>
      <c r="AB8" s="657"/>
      <c r="AC8" s="1293"/>
      <c r="AD8" s="656"/>
      <c r="AE8" s="657"/>
      <c r="AF8" s="1293"/>
      <c r="AG8" s="656"/>
      <c r="AH8" s="657"/>
      <c r="AI8" s="1299">
        <v>4</v>
      </c>
      <c r="AJ8" s="1307">
        <v>8</v>
      </c>
      <c r="AK8" s="1289">
        <v>0</v>
      </c>
      <c r="AL8" s="1298">
        <v>0</v>
      </c>
      <c r="AM8" s="1289">
        <v>0</v>
      </c>
      <c r="AN8" s="1289">
        <v>0</v>
      </c>
      <c r="AO8" s="1289">
        <v>0</v>
      </c>
      <c r="AP8" s="1289">
        <v>0</v>
      </c>
      <c r="AQ8" s="1294">
        <v>0</v>
      </c>
      <c r="AR8" s="1272">
        <v>3</v>
      </c>
      <c r="AS8" s="1273" t="s">
        <v>76</v>
      </c>
      <c r="AT8" s="1274"/>
      <c r="AU8" s="1275"/>
      <c r="AV8" s="1275"/>
      <c r="AW8" s="1275"/>
      <c r="AX8" s="1310"/>
      <c r="AY8" s="1311">
        <v>0</v>
      </c>
      <c r="AZ8" s="656"/>
      <c r="BA8" s="657"/>
      <c r="BB8" s="1293"/>
      <c r="BC8" s="656"/>
      <c r="BD8" s="657"/>
      <c r="BE8" s="1293"/>
      <c r="BF8" s="656"/>
      <c r="BG8" s="657"/>
      <c r="BH8" s="1293"/>
      <c r="BI8" s="656"/>
      <c r="BJ8" s="657"/>
      <c r="BK8" s="1293"/>
      <c r="BL8" s="656"/>
      <c r="BM8" s="657"/>
      <c r="BN8" s="1293"/>
      <c r="BO8" s="656"/>
      <c r="BP8" s="657"/>
      <c r="BQ8" s="1293"/>
      <c r="BR8" s="656"/>
      <c r="BS8" s="657"/>
      <c r="BT8" s="1293"/>
      <c r="BU8" s="656"/>
      <c r="BV8" s="657"/>
      <c r="BW8" s="1293"/>
      <c r="BX8" s="656"/>
      <c r="BY8" s="657"/>
      <c r="BZ8" s="1299">
        <v>0</v>
      </c>
      <c r="CA8" s="1307">
        <v>0</v>
      </c>
    </row>
    <row r="9" spans="1:79" ht="14.25" customHeight="1">
      <c r="A9" s="1272"/>
      <c r="B9" s="1273"/>
      <c r="C9" s="1274"/>
      <c r="D9" s="1275"/>
      <c r="E9" s="1275"/>
      <c r="F9" s="1275"/>
      <c r="G9" s="1310"/>
      <c r="H9" s="1311"/>
      <c r="I9" s="656"/>
      <c r="J9" s="657"/>
      <c r="K9" s="1293"/>
      <c r="L9" s="656"/>
      <c r="M9" s="657"/>
      <c r="N9" s="1293"/>
      <c r="O9" s="656"/>
      <c r="P9" s="657"/>
      <c r="Q9" s="1293"/>
      <c r="R9" s="656"/>
      <c r="S9" s="657"/>
      <c r="T9" s="1293"/>
      <c r="U9" s="656"/>
      <c r="V9" s="657"/>
      <c r="W9" s="1293"/>
      <c r="X9" s="656"/>
      <c r="Y9" s="657"/>
      <c r="Z9" s="1293"/>
      <c r="AA9" s="656"/>
      <c r="AB9" s="657"/>
      <c r="AC9" s="1293"/>
      <c r="AD9" s="656"/>
      <c r="AE9" s="657"/>
      <c r="AF9" s="1293"/>
      <c r="AG9" s="656"/>
      <c r="AH9" s="657"/>
      <c r="AI9" s="1299"/>
      <c r="AJ9" s="1307"/>
      <c r="AK9" s="1289"/>
      <c r="AL9" s="1298"/>
      <c r="AM9" s="1289"/>
      <c r="AN9" s="1289"/>
      <c r="AO9" s="1289"/>
      <c r="AP9" s="1289"/>
      <c r="AQ9" s="1294"/>
      <c r="AR9" s="1272"/>
      <c r="AS9" s="1273"/>
      <c r="AT9" s="1274"/>
      <c r="AU9" s="1275"/>
      <c r="AV9" s="1275"/>
      <c r="AW9" s="1275"/>
      <c r="AX9" s="1310"/>
      <c r="AY9" s="1311"/>
      <c r="AZ9" s="656"/>
      <c r="BA9" s="657"/>
      <c r="BB9" s="1293"/>
      <c r="BC9" s="656"/>
      <c r="BD9" s="657"/>
      <c r="BE9" s="1293"/>
      <c r="BF9" s="656"/>
      <c r="BG9" s="657"/>
      <c r="BH9" s="1293"/>
      <c r="BI9" s="656"/>
      <c r="BJ9" s="657"/>
      <c r="BK9" s="1293"/>
      <c r="BL9" s="656"/>
      <c r="BM9" s="657"/>
      <c r="BN9" s="1293"/>
      <c r="BO9" s="656"/>
      <c r="BP9" s="657"/>
      <c r="BQ9" s="1293"/>
      <c r="BR9" s="656"/>
      <c r="BS9" s="657"/>
      <c r="BT9" s="1293"/>
      <c r="BU9" s="656"/>
      <c r="BV9" s="657"/>
      <c r="BW9" s="1293"/>
      <c r="BX9" s="656"/>
      <c r="BY9" s="657"/>
      <c r="BZ9" s="1299"/>
      <c r="CA9" s="1307"/>
    </row>
    <row r="10" spans="1:79" ht="14.25" customHeight="1">
      <c r="A10" s="1308">
        <v>4</v>
      </c>
      <c r="B10" s="1287" t="s">
        <v>53</v>
      </c>
      <c r="C10" s="1288"/>
      <c r="D10" s="1284" t="s">
        <v>531</v>
      </c>
      <c r="E10" s="1284" t="s">
        <v>531</v>
      </c>
      <c r="F10" s="1284"/>
      <c r="G10" s="1285"/>
      <c r="H10" s="1274">
        <v>0</v>
      </c>
      <c r="I10" s="176"/>
      <c r="J10" s="657"/>
      <c r="K10" s="1275"/>
      <c r="L10" s="176"/>
      <c r="M10" s="657"/>
      <c r="N10" s="1275"/>
      <c r="O10" s="176"/>
      <c r="P10" s="657"/>
      <c r="Q10" s="1275"/>
      <c r="R10" s="176"/>
      <c r="S10" s="657"/>
      <c r="T10" s="1275"/>
      <c r="U10" s="176"/>
      <c r="V10" s="657"/>
      <c r="W10" s="1275"/>
      <c r="X10" s="176"/>
      <c r="Y10" s="657"/>
      <c r="Z10" s="1275"/>
      <c r="AA10" s="176"/>
      <c r="AB10" s="657"/>
      <c r="AC10" s="1275"/>
      <c r="AD10" s="176"/>
      <c r="AE10" s="657"/>
      <c r="AF10" s="1275"/>
      <c r="AG10" s="176"/>
      <c r="AH10" s="657"/>
      <c r="AI10" s="1312">
        <v>0</v>
      </c>
      <c r="AJ10" s="1307">
        <v>8</v>
      </c>
      <c r="AK10" s="1289">
        <v>0</v>
      </c>
      <c r="AL10" s="1298">
        <v>0</v>
      </c>
      <c r="AM10" s="1289">
        <v>0</v>
      </c>
      <c r="AN10" s="1289">
        <v>0</v>
      </c>
      <c r="AO10" s="1289">
        <v>0</v>
      </c>
      <c r="AP10" s="1289">
        <v>0</v>
      </c>
      <c r="AQ10" s="1294">
        <v>0</v>
      </c>
      <c r="AR10" s="1308">
        <v>4</v>
      </c>
      <c r="AS10" s="1287" t="s">
        <v>241</v>
      </c>
      <c r="AT10" s="1288"/>
      <c r="AU10" s="1284"/>
      <c r="AV10" s="1284"/>
      <c r="AW10" s="1284"/>
      <c r="AX10" s="1285"/>
      <c r="AY10" s="1274">
        <v>0</v>
      </c>
      <c r="AZ10" s="176"/>
      <c r="BA10" s="657"/>
      <c r="BB10" s="1275"/>
      <c r="BC10" s="176"/>
      <c r="BD10" s="657"/>
      <c r="BE10" s="1275"/>
      <c r="BF10" s="176"/>
      <c r="BG10" s="657"/>
      <c r="BH10" s="1275"/>
      <c r="BI10" s="176"/>
      <c r="BJ10" s="657"/>
      <c r="BK10" s="1275"/>
      <c r="BL10" s="176"/>
      <c r="BM10" s="657"/>
      <c r="BN10" s="1275"/>
      <c r="BO10" s="176"/>
      <c r="BP10" s="657"/>
      <c r="BQ10" s="1275"/>
      <c r="BR10" s="176"/>
      <c r="BS10" s="657"/>
      <c r="BT10" s="1275"/>
      <c r="BU10" s="176"/>
      <c r="BV10" s="657"/>
      <c r="BW10" s="1275"/>
      <c r="BX10" s="176"/>
      <c r="BY10" s="657"/>
      <c r="BZ10" s="1312">
        <v>0</v>
      </c>
      <c r="CA10" s="1307">
        <v>0</v>
      </c>
    </row>
    <row r="11" spans="1:79" ht="14.25" customHeight="1">
      <c r="A11" s="1308"/>
      <c r="B11" s="1287"/>
      <c r="C11" s="1288"/>
      <c r="D11" s="1284"/>
      <c r="E11" s="1284"/>
      <c r="F11" s="1284"/>
      <c r="G11" s="1286"/>
      <c r="H11" s="1274"/>
      <c r="I11" s="176"/>
      <c r="J11" s="657"/>
      <c r="K11" s="1275"/>
      <c r="L11" s="176"/>
      <c r="M11" s="657"/>
      <c r="N11" s="1275"/>
      <c r="O11" s="176"/>
      <c r="P11" s="657"/>
      <c r="Q11" s="1275"/>
      <c r="R11" s="176"/>
      <c r="S11" s="657"/>
      <c r="T11" s="1275"/>
      <c r="U11" s="176"/>
      <c r="V11" s="657"/>
      <c r="W11" s="1275"/>
      <c r="X11" s="176"/>
      <c r="Y11" s="657"/>
      <c r="Z11" s="1275"/>
      <c r="AA11" s="176"/>
      <c r="AB11" s="657"/>
      <c r="AC11" s="1275"/>
      <c r="AD11" s="176"/>
      <c r="AE11" s="657"/>
      <c r="AF11" s="1275"/>
      <c r="AG11" s="176"/>
      <c r="AH11" s="657"/>
      <c r="AI11" s="1313"/>
      <c r="AJ11" s="1307"/>
      <c r="AK11" s="1289"/>
      <c r="AL11" s="1298"/>
      <c r="AM11" s="1289"/>
      <c r="AN11" s="1289"/>
      <c r="AO11" s="1289"/>
      <c r="AP11" s="1289"/>
      <c r="AQ11" s="1294"/>
      <c r="AR11" s="1308"/>
      <c r="AS11" s="1287"/>
      <c r="AT11" s="1288"/>
      <c r="AU11" s="1284"/>
      <c r="AV11" s="1284"/>
      <c r="AW11" s="1284"/>
      <c r="AX11" s="1286"/>
      <c r="AY11" s="1274"/>
      <c r="AZ11" s="176"/>
      <c r="BA11" s="657"/>
      <c r="BB11" s="1275"/>
      <c r="BC11" s="176"/>
      <c r="BD11" s="657"/>
      <c r="BE11" s="1275"/>
      <c r="BF11" s="176"/>
      <c r="BG11" s="657"/>
      <c r="BH11" s="1275"/>
      <c r="BI11" s="176"/>
      <c r="BJ11" s="657"/>
      <c r="BK11" s="1275"/>
      <c r="BL11" s="176"/>
      <c r="BM11" s="657"/>
      <c r="BN11" s="1275"/>
      <c r="BO11" s="176"/>
      <c r="BP11" s="657"/>
      <c r="BQ11" s="1275"/>
      <c r="BR11" s="176"/>
      <c r="BS11" s="657"/>
      <c r="BT11" s="1275"/>
      <c r="BU11" s="176"/>
      <c r="BV11" s="657"/>
      <c r="BW11" s="1275"/>
      <c r="BX11" s="176"/>
      <c r="BY11" s="657"/>
      <c r="BZ11" s="1313"/>
      <c r="CA11" s="1307"/>
    </row>
    <row r="12" spans="1:79" ht="14.25" customHeight="1">
      <c r="A12" s="1272">
        <v>5</v>
      </c>
      <c r="B12" s="1273" t="s">
        <v>57</v>
      </c>
      <c r="C12" s="1274"/>
      <c r="D12" s="1275" t="s">
        <v>531</v>
      </c>
      <c r="E12" s="1275" t="s">
        <v>531</v>
      </c>
      <c r="F12" s="1275"/>
      <c r="G12" s="1310"/>
      <c r="H12" s="1311">
        <v>4</v>
      </c>
      <c r="I12" s="656" t="s">
        <v>527</v>
      </c>
      <c r="J12" s="657"/>
      <c r="K12" s="1293"/>
      <c r="L12" s="656"/>
      <c r="M12" s="657"/>
      <c r="N12" s="1293"/>
      <c r="O12" s="656"/>
      <c r="P12" s="657"/>
      <c r="Q12" s="1293"/>
      <c r="R12" s="656"/>
      <c r="S12" s="657"/>
      <c r="T12" s="1293"/>
      <c r="U12" s="656"/>
      <c r="V12" s="657"/>
      <c r="W12" s="1293"/>
      <c r="X12" s="656"/>
      <c r="Y12" s="657"/>
      <c r="Z12" s="1293"/>
      <c r="AA12" s="656"/>
      <c r="AB12" s="657"/>
      <c r="AC12" s="1293"/>
      <c r="AD12" s="656"/>
      <c r="AE12" s="657"/>
      <c r="AF12" s="1293"/>
      <c r="AG12" s="656"/>
      <c r="AH12" s="657"/>
      <c r="AI12" s="1299">
        <v>4</v>
      </c>
      <c r="AJ12" s="1307">
        <v>12</v>
      </c>
      <c r="AK12" s="1289">
        <v>0</v>
      </c>
      <c r="AL12" s="1298">
        <v>0</v>
      </c>
      <c r="AM12" s="1289">
        <v>0</v>
      </c>
      <c r="AN12" s="1289">
        <v>0</v>
      </c>
      <c r="AO12" s="1289">
        <v>0</v>
      </c>
      <c r="AP12" s="1289">
        <v>0</v>
      </c>
      <c r="AQ12" s="1294">
        <v>0</v>
      </c>
      <c r="AR12" s="1272">
        <v>5</v>
      </c>
      <c r="AS12" s="1273" t="s">
        <v>239</v>
      </c>
      <c r="AT12" s="1274"/>
      <c r="AU12" s="1275"/>
      <c r="AV12" s="1275"/>
      <c r="AW12" s="1275"/>
      <c r="AX12" s="1310"/>
      <c r="AY12" s="1311">
        <v>0</v>
      </c>
      <c r="AZ12" s="656"/>
      <c r="BA12" s="657"/>
      <c r="BB12" s="1293"/>
      <c r="BC12" s="656"/>
      <c r="BD12" s="657"/>
      <c r="BE12" s="1293"/>
      <c r="BF12" s="656"/>
      <c r="BG12" s="657"/>
      <c r="BH12" s="1293"/>
      <c r="BI12" s="656"/>
      <c r="BJ12" s="657"/>
      <c r="BK12" s="1293"/>
      <c r="BL12" s="656"/>
      <c r="BM12" s="657"/>
      <c r="BN12" s="1293"/>
      <c r="BO12" s="656"/>
      <c r="BP12" s="657"/>
      <c r="BQ12" s="1293"/>
      <c r="BR12" s="656"/>
      <c r="BS12" s="657"/>
      <c r="BT12" s="1293"/>
      <c r="BU12" s="656"/>
      <c r="BV12" s="657"/>
      <c r="BW12" s="1293"/>
      <c r="BX12" s="656"/>
      <c r="BY12" s="657"/>
      <c r="BZ12" s="1299">
        <v>0</v>
      </c>
      <c r="CA12" s="1307">
        <v>0</v>
      </c>
    </row>
    <row r="13" spans="1:79" ht="14.25" customHeight="1">
      <c r="A13" s="1272"/>
      <c r="B13" s="1273"/>
      <c r="C13" s="1274"/>
      <c r="D13" s="1275"/>
      <c r="E13" s="1275"/>
      <c r="F13" s="1275"/>
      <c r="G13" s="1310"/>
      <c r="H13" s="1311"/>
      <c r="I13" s="656"/>
      <c r="J13" s="657"/>
      <c r="K13" s="1293"/>
      <c r="L13" s="656"/>
      <c r="M13" s="657"/>
      <c r="N13" s="1293"/>
      <c r="O13" s="656"/>
      <c r="P13" s="657"/>
      <c r="Q13" s="1293"/>
      <c r="R13" s="656"/>
      <c r="S13" s="657"/>
      <c r="T13" s="1293"/>
      <c r="U13" s="656"/>
      <c r="V13" s="657"/>
      <c r="W13" s="1293"/>
      <c r="X13" s="656"/>
      <c r="Y13" s="657"/>
      <c r="Z13" s="1293"/>
      <c r="AA13" s="656"/>
      <c r="AB13" s="657"/>
      <c r="AC13" s="1293"/>
      <c r="AD13" s="656"/>
      <c r="AE13" s="657"/>
      <c r="AF13" s="1293"/>
      <c r="AG13" s="656"/>
      <c r="AH13" s="657"/>
      <c r="AI13" s="1299"/>
      <c r="AJ13" s="1307"/>
      <c r="AK13" s="1289"/>
      <c r="AL13" s="1298"/>
      <c r="AM13" s="1289"/>
      <c r="AN13" s="1289"/>
      <c r="AO13" s="1289"/>
      <c r="AP13" s="1289"/>
      <c r="AQ13" s="1294"/>
      <c r="AR13" s="1272"/>
      <c r="AS13" s="1273"/>
      <c r="AT13" s="1274"/>
      <c r="AU13" s="1275"/>
      <c r="AV13" s="1275"/>
      <c r="AW13" s="1275"/>
      <c r="AX13" s="1310"/>
      <c r="AY13" s="1311"/>
      <c r="AZ13" s="656"/>
      <c r="BA13" s="657"/>
      <c r="BB13" s="1293"/>
      <c r="BC13" s="656"/>
      <c r="BD13" s="657"/>
      <c r="BE13" s="1293"/>
      <c r="BF13" s="656"/>
      <c r="BG13" s="657"/>
      <c r="BH13" s="1293"/>
      <c r="BI13" s="656"/>
      <c r="BJ13" s="657"/>
      <c r="BK13" s="1293"/>
      <c r="BL13" s="656"/>
      <c r="BM13" s="657"/>
      <c r="BN13" s="1293"/>
      <c r="BO13" s="656"/>
      <c r="BP13" s="657"/>
      <c r="BQ13" s="1293"/>
      <c r="BR13" s="656"/>
      <c r="BS13" s="657"/>
      <c r="BT13" s="1293"/>
      <c r="BU13" s="656"/>
      <c r="BV13" s="657"/>
      <c r="BW13" s="1293"/>
      <c r="BX13" s="656"/>
      <c r="BY13" s="657"/>
      <c r="BZ13" s="1299"/>
      <c r="CA13" s="1307"/>
    </row>
    <row r="14" spans="1:79" ht="14.25" customHeight="1">
      <c r="A14" s="1308">
        <v>6</v>
      </c>
      <c r="B14" s="1287" t="s">
        <v>59</v>
      </c>
      <c r="C14" s="1288"/>
      <c r="D14" s="1284"/>
      <c r="E14" s="1284"/>
      <c r="F14" s="1284"/>
      <c r="G14" s="1285"/>
      <c r="H14" s="1274">
        <v>0</v>
      </c>
      <c r="I14" s="176"/>
      <c r="J14" s="657"/>
      <c r="K14" s="1275"/>
      <c r="L14" s="176"/>
      <c r="M14" s="657"/>
      <c r="N14" s="1275"/>
      <c r="O14" s="176"/>
      <c r="P14" s="657"/>
      <c r="Q14" s="1275"/>
      <c r="R14" s="176"/>
      <c r="S14" s="657"/>
      <c r="T14" s="1275"/>
      <c r="U14" s="176"/>
      <c r="V14" s="657"/>
      <c r="W14" s="1275"/>
      <c r="X14" s="176"/>
      <c r="Y14" s="657"/>
      <c r="Z14" s="1275"/>
      <c r="AA14" s="176"/>
      <c r="AB14" s="657"/>
      <c r="AC14" s="1275"/>
      <c r="AD14" s="176"/>
      <c r="AE14" s="657"/>
      <c r="AF14" s="1275"/>
      <c r="AG14" s="176"/>
      <c r="AH14" s="657"/>
      <c r="AI14" s="1312">
        <v>0</v>
      </c>
      <c r="AJ14" s="1307">
        <v>12</v>
      </c>
      <c r="AK14" s="1289">
        <v>0</v>
      </c>
      <c r="AL14" s="1298">
        <v>0</v>
      </c>
      <c r="AM14" s="1289">
        <v>0</v>
      </c>
      <c r="AN14" s="1289">
        <v>0</v>
      </c>
      <c r="AO14" s="1289">
        <v>0</v>
      </c>
      <c r="AP14" s="1289">
        <v>0</v>
      </c>
      <c r="AQ14" s="1294">
        <v>0</v>
      </c>
      <c r="AR14" s="1308">
        <v>6</v>
      </c>
      <c r="AS14" s="1287" t="s">
        <v>76</v>
      </c>
      <c r="AT14" s="1288"/>
      <c r="AU14" s="1284" t="s">
        <v>531</v>
      </c>
      <c r="AV14" s="1284" t="s">
        <v>531</v>
      </c>
      <c r="AW14" s="1284"/>
      <c r="AX14" s="1285"/>
      <c r="AY14" s="1274">
        <v>4</v>
      </c>
      <c r="AZ14" s="176" t="s">
        <v>527</v>
      </c>
      <c r="BA14" s="657"/>
      <c r="BB14" s="1275"/>
      <c r="BC14" s="176"/>
      <c r="BD14" s="657"/>
      <c r="BE14" s="1275"/>
      <c r="BF14" s="176"/>
      <c r="BG14" s="657"/>
      <c r="BH14" s="1275"/>
      <c r="BI14" s="176"/>
      <c r="BJ14" s="657"/>
      <c r="BK14" s="1275"/>
      <c r="BL14" s="176"/>
      <c r="BM14" s="657"/>
      <c r="BN14" s="1275"/>
      <c r="BO14" s="176"/>
      <c r="BP14" s="657"/>
      <c r="BQ14" s="1275"/>
      <c r="BR14" s="176"/>
      <c r="BS14" s="657"/>
      <c r="BT14" s="1275"/>
      <c r="BU14" s="176"/>
      <c r="BV14" s="657"/>
      <c r="BW14" s="1275"/>
      <c r="BX14" s="176"/>
      <c r="BY14" s="657"/>
      <c r="BZ14" s="1312">
        <v>4</v>
      </c>
      <c r="CA14" s="1307">
        <v>4</v>
      </c>
    </row>
    <row r="15" spans="1:79" ht="14.25" customHeight="1">
      <c r="A15" s="1308"/>
      <c r="B15" s="1287"/>
      <c r="C15" s="1288"/>
      <c r="D15" s="1284"/>
      <c r="E15" s="1284"/>
      <c r="F15" s="1284"/>
      <c r="G15" s="1286"/>
      <c r="H15" s="1274"/>
      <c r="I15" s="176"/>
      <c r="J15" s="657"/>
      <c r="K15" s="1275"/>
      <c r="L15" s="176"/>
      <c r="M15" s="657"/>
      <c r="N15" s="1275"/>
      <c r="O15" s="176"/>
      <c r="P15" s="657"/>
      <c r="Q15" s="1275"/>
      <c r="R15" s="176"/>
      <c r="S15" s="657"/>
      <c r="T15" s="1275"/>
      <c r="U15" s="176"/>
      <c r="V15" s="657"/>
      <c r="W15" s="1275"/>
      <c r="X15" s="176"/>
      <c r="Y15" s="657"/>
      <c r="Z15" s="1275"/>
      <c r="AA15" s="176"/>
      <c r="AB15" s="657"/>
      <c r="AC15" s="1275"/>
      <c r="AD15" s="176"/>
      <c r="AE15" s="657"/>
      <c r="AF15" s="1275"/>
      <c r="AG15" s="176"/>
      <c r="AH15" s="657"/>
      <c r="AI15" s="1313"/>
      <c r="AJ15" s="1307"/>
      <c r="AK15" s="1289"/>
      <c r="AL15" s="1298"/>
      <c r="AM15" s="1289"/>
      <c r="AN15" s="1289"/>
      <c r="AO15" s="1289"/>
      <c r="AP15" s="1289"/>
      <c r="AQ15" s="1294"/>
      <c r="AR15" s="1308"/>
      <c r="AS15" s="1287"/>
      <c r="AT15" s="1288"/>
      <c r="AU15" s="1284"/>
      <c r="AV15" s="1284"/>
      <c r="AW15" s="1284"/>
      <c r="AX15" s="1286"/>
      <c r="AY15" s="1274"/>
      <c r="AZ15" s="176"/>
      <c r="BA15" s="657"/>
      <c r="BB15" s="1275"/>
      <c r="BC15" s="176"/>
      <c r="BD15" s="657"/>
      <c r="BE15" s="1275"/>
      <c r="BF15" s="176"/>
      <c r="BG15" s="657"/>
      <c r="BH15" s="1275"/>
      <c r="BI15" s="176"/>
      <c r="BJ15" s="657"/>
      <c r="BK15" s="1275"/>
      <c r="BL15" s="176"/>
      <c r="BM15" s="657"/>
      <c r="BN15" s="1275"/>
      <c r="BO15" s="176"/>
      <c r="BP15" s="657"/>
      <c r="BQ15" s="1275"/>
      <c r="BR15" s="176"/>
      <c r="BS15" s="657"/>
      <c r="BT15" s="1275"/>
      <c r="BU15" s="176"/>
      <c r="BV15" s="657"/>
      <c r="BW15" s="1275"/>
      <c r="BX15" s="176"/>
      <c r="BY15" s="657"/>
      <c r="BZ15" s="1313"/>
      <c r="CA15" s="1307"/>
    </row>
    <row r="16" spans="1:79" ht="14.25" customHeight="1">
      <c r="A16" s="1272">
        <v>7</v>
      </c>
      <c r="B16" s="1273" t="s">
        <v>223</v>
      </c>
      <c r="C16" s="1274"/>
      <c r="D16" s="1275"/>
      <c r="E16" s="1275"/>
      <c r="F16" s="1275"/>
      <c r="G16" s="1310"/>
      <c r="H16" s="1311">
        <v>0</v>
      </c>
      <c r="I16" s="656"/>
      <c r="J16" s="657"/>
      <c r="K16" s="1293"/>
      <c r="L16" s="656"/>
      <c r="M16" s="657"/>
      <c r="N16" s="1293"/>
      <c r="O16" s="656"/>
      <c r="P16" s="657"/>
      <c r="Q16" s="1293"/>
      <c r="R16" s="656"/>
      <c r="S16" s="657"/>
      <c r="T16" s="1293"/>
      <c r="U16" s="656"/>
      <c r="V16" s="657"/>
      <c r="W16" s="1293"/>
      <c r="X16" s="656"/>
      <c r="Y16" s="657"/>
      <c r="Z16" s="1293"/>
      <c r="AA16" s="656"/>
      <c r="AB16" s="657"/>
      <c r="AC16" s="1293"/>
      <c r="AD16" s="656"/>
      <c r="AE16" s="657"/>
      <c r="AF16" s="1293"/>
      <c r="AG16" s="656"/>
      <c r="AH16" s="657"/>
      <c r="AI16" s="1299">
        <v>0</v>
      </c>
      <c r="AJ16" s="1307">
        <v>12</v>
      </c>
      <c r="AK16" s="1289">
        <v>0</v>
      </c>
      <c r="AL16" s="1298">
        <v>0</v>
      </c>
      <c r="AM16" s="1289">
        <v>0</v>
      </c>
      <c r="AN16" s="1289">
        <v>0</v>
      </c>
      <c r="AO16" s="1289">
        <v>0</v>
      </c>
      <c r="AP16" s="1289">
        <v>0</v>
      </c>
      <c r="AQ16" s="1294">
        <v>0</v>
      </c>
      <c r="AR16" s="1272">
        <v>7</v>
      </c>
      <c r="AS16" s="1273" t="s">
        <v>241</v>
      </c>
      <c r="AT16" s="1274"/>
      <c r="AU16" s="1275" t="s">
        <v>531</v>
      </c>
      <c r="AV16" s="1275" t="s">
        <v>531</v>
      </c>
      <c r="AW16" s="1275"/>
      <c r="AX16" s="1310"/>
      <c r="AY16" s="1311">
        <v>4</v>
      </c>
      <c r="AZ16" s="656"/>
      <c r="BA16" s="657"/>
      <c r="BB16" s="1293"/>
      <c r="BC16" s="656"/>
      <c r="BD16" s="657"/>
      <c r="BE16" s="1293"/>
      <c r="BF16" s="656"/>
      <c r="BG16" s="657"/>
      <c r="BH16" s="1293"/>
      <c r="BI16" s="656"/>
      <c r="BJ16" s="657"/>
      <c r="BK16" s="1293"/>
      <c r="BL16" s="656"/>
      <c r="BM16" s="657"/>
      <c r="BN16" s="1293"/>
      <c r="BO16" s="656"/>
      <c r="BP16" s="657"/>
      <c r="BQ16" s="1293"/>
      <c r="BR16" s="656"/>
      <c r="BS16" s="657"/>
      <c r="BT16" s="1293"/>
      <c r="BU16" s="656"/>
      <c r="BV16" s="657"/>
      <c r="BW16" s="1293"/>
      <c r="BX16" s="656"/>
      <c r="BY16" s="657"/>
      <c r="BZ16" s="1299">
        <v>4</v>
      </c>
      <c r="CA16" s="1307">
        <v>8</v>
      </c>
    </row>
    <row r="17" spans="1:79" ht="14.25" customHeight="1">
      <c r="A17" s="1272"/>
      <c r="B17" s="1273"/>
      <c r="C17" s="1274"/>
      <c r="D17" s="1275"/>
      <c r="E17" s="1275"/>
      <c r="F17" s="1275"/>
      <c r="G17" s="1310"/>
      <c r="H17" s="1311"/>
      <c r="I17" s="656"/>
      <c r="J17" s="657"/>
      <c r="K17" s="1293"/>
      <c r="L17" s="656"/>
      <c r="M17" s="657"/>
      <c r="N17" s="1293"/>
      <c r="O17" s="656"/>
      <c r="P17" s="657"/>
      <c r="Q17" s="1293"/>
      <c r="R17" s="656"/>
      <c r="S17" s="657"/>
      <c r="T17" s="1293"/>
      <c r="U17" s="656"/>
      <c r="V17" s="657"/>
      <c r="W17" s="1293"/>
      <c r="X17" s="656"/>
      <c r="Y17" s="657"/>
      <c r="Z17" s="1293"/>
      <c r="AA17" s="656"/>
      <c r="AB17" s="657"/>
      <c r="AC17" s="1293"/>
      <c r="AD17" s="656"/>
      <c r="AE17" s="657"/>
      <c r="AF17" s="1293"/>
      <c r="AG17" s="656"/>
      <c r="AH17" s="657"/>
      <c r="AI17" s="1299"/>
      <c r="AJ17" s="1307"/>
      <c r="AK17" s="1289"/>
      <c r="AL17" s="1298"/>
      <c r="AM17" s="1289"/>
      <c r="AN17" s="1289"/>
      <c r="AO17" s="1289"/>
      <c r="AP17" s="1289"/>
      <c r="AQ17" s="1294"/>
      <c r="AR17" s="1272"/>
      <c r="AS17" s="1273"/>
      <c r="AT17" s="1274"/>
      <c r="AU17" s="1275"/>
      <c r="AV17" s="1275"/>
      <c r="AW17" s="1275"/>
      <c r="AX17" s="1310"/>
      <c r="AY17" s="1311"/>
      <c r="AZ17" s="656"/>
      <c r="BA17" s="657"/>
      <c r="BB17" s="1293"/>
      <c r="BC17" s="656"/>
      <c r="BD17" s="657"/>
      <c r="BE17" s="1293"/>
      <c r="BF17" s="656"/>
      <c r="BG17" s="657"/>
      <c r="BH17" s="1293"/>
      <c r="BI17" s="656"/>
      <c r="BJ17" s="657"/>
      <c r="BK17" s="1293"/>
      <c r="BL17" s="656"/>
      <c r="BM17" s="657"/>
      <c r="BN17" s="1293"/>
      <c r="BO17" s="656"/>
      <c r="BP17" s="657"/>
      <c r="BQ17" s="1293"/>
      <c r="BR17" s="656"/>
      <c r="BS17" s="657"/>
      <c r="BT17" s="1293"/>
      <c r="BU17" s="656"/>
      <c r="BV17" s="657"/>
      <c r="BW17" s="1293"/>
      <c r="BX17" s="656"/>
      <c r="BY17" s="657"/>
      <c r="BZ17" s="1299"/>
      <c r="CA17" s="1307"/>
    </row>
    <row r="18" spans="1:79" ht="14.25" customHeight="1">
      <c r="A18" s="1308">
        <v>8</v>
      </c>
      <c r="B18" s="1287" t="s">
        <v>53</v>
      </c>
      <c r="C18" s="1288"/>
      <c r="D18" s="1284" t="s">
        <v>531</v>
      </c>
      <c r="E18" s="1284" t="s">
        <v>531</v>
      </c>
      <c r="F18" s="1284"/>
      <c r="G18" s="1285"/>
      <c r="H18" s="1274">
        <v>1</v>
      </c>
      <c r="I18" s="176"/>
      <c r="J18" s="657"/>
      <c r="K18" s="1275"/>
      <c r="L18" s="176"/>
      <c r="M18" s="657"/>
      <c r="N18" s="1275"/>
      <c r="O18" s="176"/>
      <c r="P18" s="657"/>
      <c r="Q18" s="1275"/>
      <c r="R18" s="176"/>
      <c r="S18" s="657"/>
      <c r="T18" s="1275"/>
      <c r="U18" s="176"/>
      <c r="V18" s="657"/>
      <c r="W18" s="1275"/>
      <c r="X18" s="176"/>
      <c r="Y18" s="657"/>
      <c r="Z18" s="1275"/>
      <c r="AA18" s="176"/>
      <c r="AB18" s="657"/>
      <c r="AC18" s="1275"/>
      <c r="AD18" s="176"/>
      <c r="AE18" s="657"/>
      <c r="AF18" s="1275"/>
      <c r="AG18" s="176"/>
      <c r="AH18" s="657"/>
      <c r="AI18" s="1312">
        <v>1</v>
      </c>
      <c r="AJ18" s="1307">
        <v>13</v>
      </c>
      <c r="AK18" s="1289">
        <v>0</v>
      </c>
      <c r="AL18" s="1298">
        <v>0</v>
      </c>
      <c r="AM18" s="1289">
        <v>0</v>
      </c>
      <c r="AN18" s="1289">
        <v>0</v>
      </c>
      <c r="AO18" s="1289">
        <v>0</v>
      </c>
      <c r="AP18" s="1289">
        <v>0</v>
      </c>
      <c r="AQ18" s="1294">
        <v>0</v>
      </c>
      <c r="AR18" s="1308">
        <v>8</v>
      </c>
      <c r="AS18" s="1287" t="s">
        <v>239</v>
      </c>
      <c r="AT18" s="1288"/>
      <c r="AU18" s="1284"/>
      <c r="AV18" s="1284"/>
      <c r="AW18" s="1284"/>
      <c r="AX18" s="1285"/>
      <c r="AY18" s="1274">
        <v>0</v>
      </c>
      <c r="AZ18" s="176"/>
      <c r="BA18" s="657"/>
      <c r="BB18" s="1275"/>
      <c r="BC18" s="176"/>
      <c r="BD18" s="657"/>
      <c r="BE18" s="1275"/>
      <c r="BF18" s="176"/>
      <c r="BG18" s="657"/>
      <c r="BH18" s="1275"/>
      <c r="BI18" s="176"/>
      <c r="BJ18" s="657"/>
      <c r="BK18" s="1275"/>
      <c r="BL18" s="176"/>
      <c r="BM18" s="657"/>
      <c r="BN18" s="1275"/>
      <c r="BO18" s="176"/>
      <c r="BP18" s="657"/>
      <c r="BQ18" s="1275"/>
      <c r="BR18" s="176"/>
      <c r="BS18" s="657"/>
      <c r="BT18" s="1275"/>
      <c r="BU18" s="176"/>
      <c r="BV18" s="657"/>
      <c r="BW18" s="1275"/>
      <c r="BX18" s="176"/>
      <c r="BY18" s="657"/>
      <c r="BZ18" s="1312">
        <v>0</v>
      </c>
      <c r="CA18" s="1307">
        <v>8</v>
      </c>
    </row>
    <row r="19" spans="1:79" ht="14.25" customHeight="1">
      <c r="A19" s="1308"/>
      <c r="B19" s="1287"/>
      <c r="C19" s="1288"/>
      <c r="D19" s="1284"/>
      <c r="E19" s="1284"/>
      <c r="F19" s="1284"/>
      <c r="G19" s="1286"/>
      <c r="H19" s="1274"/>
      <c r="I19" s="176"/>
      <c r="J19" s="657"/>
      <c r="K19" s="1275"/>
      <c r="L19" s="176"/>
      <c r="M19" s="657"/>
      <c r="N19" s="1275"/>
      <c r="O19" s="176"/>
      <c r="P19" s="657"/>
      <c r="Q19" s="1275"/>
      <c r="R19" s="176"/>
      <c r="S19" s="657"/>
      <c r="T19" s="1275"/>
      <c r="U19" s="176"/>
      <c r="V19" s="657"/>
      <c r="W19" s="1275"/>
      <c r="X19" s="176"/>
      <c r="Y19" s="657"/>
      <c r="Z19" s="1275"/>
      <c r="AA19" s="176"/>
      <c r="AB19" s="657"/>
      <c r="AC19" s="1275"/>
      <c r="AD19" s="176"/>
      <c r="AE19" s="657"/>
      <c r="AF19" s="1275"/>
      <c r="AG19" s="176"/>
      <c r="AH19" s="657"/>
      <c r="AI19" s="1313"/>
      <c r="AJ19" s="1307"/>
      <c r="AK19" s="1289"/>
      <c r="AL19" s="1298"/>
      <c r="AM19" s="1289"/>
      <c r="AN19" s="1289"/>
      <c r="AO19" s="1289"/>
      <c r="AP19" s="1289"/>
      <c r="AQ19" s="1294"/>
      <c r="AR19" s="1308"/>
      <c r="AS19" s="1287"/>
      <c r="AT19" s="1288"/>
      <c r="AU19" s="1284"/>
      <c r="AV19" s="1284"/>
      <c r="AW19" s="1284"/>
      <c r="AX19" s="1286"/>
      <c r="AY19" s="1274"/>
      <c r="AZ19" s="176"/>
      <c r="BA19" s="657"/>
      <c r="BB19" s="1275"/>
      <c r="BC19" s="176"/>
      <c r="BD19" s="657"/>
      <c r="BE19" s="1275"/>
      <c r="BF19" s="176"/>
      <c r="BG19" s="657"/>
      <c r="BH19" s="1275"/>
      <c r="BI19" s="176"/>
      <c r="BJ19" s="657"/>
      <c r="BK19" s="1275"/>
      <c r="BL19" s="176"/>
      <c r="BM19" s="657"/>
      <c r="BN19" s="1275"/>
      <c r="BO19" s="176"/>
      <c r="BP19" s="657"/>
      <c r="BQ19" s="1275"/>
      <c r="BR19" s="176"/>
      <c r="BS19" s="657"/>
      <c r="BT19" s="1275"/>
      <c r="BU19" s="176"/>
      <c r="BV19" s="657"/>
      <c r="BW19" s="1275"/>
      <c r="BX19" s="176"/>
      <c r="BY19" s="657"/>
      <c r="BZ19" s="1313"/>
      <c r="CA19" s="1307"/>
    </row>
    <row r="20" spans="1:79" ht="14.25" customHeight="1">
      <c r="A20" s="1272">
        <v>9</v>
      </c>
      <c r="B20" s="1273" t="s">
        <v>221</v>
      </c>
      <c r="C20" s="1274"/>
      <c r="D20" s="1275" t="s">
        <v>531</v>
      </c>
      <c r="E20" s="1275" t="s">
        <v>531</v>
      </c>
      <c r="F20" s="1275"/>
      <c r="G20" s="1310"/>
      <c r="H20" s="1311">
        <v>4</v>
      </c>
      <c r="I20" s="656"/>
      <c r="J20" s="657"/>
      <c r="K20" s="1293"/>
      <c r="L20" s="656"/>
      <c r="M20" s="657"/>
      <c r="N20" s="1293"/>
      <c r="O20" s="656"/>
      <c r="P20" s="657"/>
      <c r="Q20" s="1293"/>
      <c r="R20" s="656"/>
      <c r="S20" s="657"/>
      <c r="T20" s="1293"/>
      <c r="U20" s="656"/>
      <c r="V20" s="657"/>
      <c r="W20" s="1293"/>
      <c r="X20" s="656"/>
      <c r="Y20" s="657"/>
      <c r="Z20" s="1293"/>
      <c r="AA20" s="656"/>
      <c r="AB20" s="657"/>
      <c r="AC20" s="1293"/>
      <c r="AD20" s="656"/>
      <c r="AE20" s="657"/>
      <c r="AF20" s="1293"/>
      <c r="AG20" s="656"/>
      <c r="AH20" s="657"/>
      <c r="AI20" s="1299">
        <v>4</v>
      </c>
      <c r="AJ20" s="1307">
        <v>17</v>
      </c>
      <c r="AK20" s="1289">
        <v>0</v>
      </c>
      <c r="AL20" s="1298">
        <v>0</v>
      </c>
      <c r="AM20" s="1289">
        <v>0</v>
      </c>
      <c r="AN20" s="1289">
        <v>0</v>
      </c>
      <c r="AO20" s="1289">
        <v>0</v>
      </c>
      <c r="AP20" s="1289">
        <v>0</v>
      </c>
      <c r="AQ20" s="1294">
        <v>0</v>
      </c>
      <c r="AR20" s="1272">
        <v>9</v>
      </c>
      <c r="AS20" s="1273" t="s">
        <v>76</v>
      </c>
      <c r="AT20" s="1274"/>
      <c r="AU20" s="1275"/>
      <c r="AV20" s="1275"/>
      <c r="AW20" s="1275"/>
      <c r="AX20" s="1310"/>
      <c r="AY20" s="1311">
        <v>0</v>
      </c>
      <c r="AZ20" s="656"/>
      <c r="BA20" s="657"/>
      <c r="BB20" s="1293"/>
      <c r="BC20" s="656"/>
      <c r="BD20" s="657"/>
      <c r="BE20" s="1293"/>
      <c r="BF20" s="656"/>
      <c r="BG20" s="657"/>
      <c r="BH20" s="1293"/>
      <c r="BI20" s="656"/>
      <c r="BJ20" s="657"/>
      <c r="BK20" s="1293"/>
      <c r="BL20" s="656"/>
      <c r="BM20" s="657"/>
      <c r="BN20" s="1293"/>
      <c r="BO20" s="656"/>
      <c r="BP20" s="657"/>
      <c r="BQ20" s="1293"/>
      <c r="BR20" s="656"/>
      <c r="BS20" s="657"/>
      <c r="BT20" s="1293"/>
      <c r="BU20" s="656"/>
      <c r="BV20" s="657"/>
      <c r="BW20" s="1293"/>
      <c r="BX20" s="656"/>
      <c r="BY20" s="657"/>
      <c r="BZ20" s="1299">
        <v>0</v>
      </c>
      <c r="CA20" s="1307">
        <v>8</v>
      </c>
    </row>
    <row r="21" spans="1:79" ht="14.25" customHeight="1">
      <c r="A21" s="1272"/>
      <c r="B21" s="1273"/>
      <c r="C21" s="1274"/>
      <c r="D21" s="1275"/>
      <c r="E21" s="1275"/>
      <c r="F21" s="1275"/>
      <c r="G21" s="1310"/>
      <c r="H21" s="1311"/>
      <c r="I21" s="656"/>
      <c r="J21" s="657"/>
      <c r="K21" s="1293"/>
      <c r="L21" s="656"/>
      <c r="M21" s="657"/>
      <c r="N21" s="1293"/>
      <c r="O21" s="656"/>
      <c r="P21" s="657"/>
      <c r="Q21" s="1293"/>
      <c r="R21" s="656"/>
      <c r="S21" s="657"/>
      <c r="T21" s="1293"/>
      <c r="U21" s="656"/>
      <c r="V21" s="657"/>
      <c r="W21" s="1293"/>
      <c r="X21" s="656"/>
      <c r="Y21" s="657"/>
      <c r="Z21" s="1293"/>
      <c r="AA21" s="656"/>
      <c r="AB21" s="657"/>
      <c r="AC21" s="1293"/>
      <c r="AD21" s="656"/>
      <c r="AE21" s="657"/>
      <c r="AF21" s="1293"/>
      <c r="AG21" s="656"/>
      <c r="AH21" s="657"/>
      <c r="AI21" s="1299"/>
      <c r="AJ21" s="1307"/>
      <c r="AK21" s="1289"/>
      <c r="AL21" s="1298"/>
      <c r="AM21" s="1289"/>
      <c r="AN21" s="1289"/>
      <c r="AO21" s="1289"/>
      <c r="AP21" s="1289"/>
      <c r="AQ21" s="1294"/>
      <c r="AR21" s="1272"/>
      <c r="AS21" s="1273"/>
      <c r="AT21" s="1274"/>
      <c r="AU21" s="1275"/>
      <c r="AV21" s="1275"/>
      <c r="AW21" s="1275"/>
      <c r="AX21" s="1310"/>
      <c r="AY21" s="1311"/>
      <c r="AZ21" s="656"/>
      <c r="BA21" s="657"/>
      <c r="BB21" s="1293"/>
      <c r="BC21" s="656"/>
      <c r="BD21" s="657"/>
      <c r="BE21" s="1293"/>
      <c r="BF21" s="656"/>
      <c r="BG21" s="657"/>
      <c r="BH21" s="1293"/>
      <c r="BI21" s="656"/>
      <c r="BJ21" s="657"/>
      <c r="BK21" s="1293"/>
      <c r="BL21" s="656"/>
      <c r="BM21" s="657"/>
      <c r="BN21" s="1293"/>
      <c r="BO21" s="656"/>
      <c r="BP21" s="657"/>
      <c r="BQ21" s="1293"/>
      <c r="BR21" s="656"/>
      <c r="BS21" s="657"/>
      <c r="BT21" s="1293"/>
      <c r="BU21" s="656"/>
      <c r="BV21" s="657"/>
      <c r="BW21" s="1293"/>
      <c r="BX21" s="656"/>
      <c r="BY21" s="657"/>
      <c r="BZ21" s="1299"/>
      <c r="CA21" s="1307"/>
    </row>
    <row r="22" spans="1:79" ht="14.25" customHeight="1">
      <c r="A22" s="1308">
        <v>10</v>
      </c>
      <c r="B22" s="1287" t="s">
        <v>59</v>
      </c>
      <c r="C22" s="1288"/>
      <c r="D22" s="1284"/>
      <c r="E22" s="1284"/>
      <c r="F22" s="1284"/>
      <c r="G22" s="1285"/>
      <c r="H22" s="1274">
        <v>0</v>
      </c>
      <c r="I22" s="176"/>
      <c r="J22" s="657"/>
      <c r="K22" s="1275"/>
      <c r="L22" s="176"/>
      <c r="M22" s="657"/>
      <c r="N22" s="1275"/>
      <c r="O22" s="176"/>
      <c r="P22" s="657"/>
      <c r="Q22" s="1275"/>
      <c r="R22" s="176"/>
      <c r="S22" s="657"/>
      <c r="T22" s="1275"/>
      <c r="U22" s="176"/>
      <c r="V22" s="657"/>
      <c r="W22" s="1275"/>
      <c r="X22" s="176"/>
      <c r="Y22" s="657"/>
      <c r="Z22" s="1275"/>
      <c r="AA22" s="176"/>
      <c r="AB22" s="657"/>
      <c r="AC22" s="1275"/>
      <c r="AD22" s="176"/>
      <c r="AE22" s="657"/>
      <c r="AF22" s="1275"/>
      <c r="AG22" s="176"/>
      <c r="AH22" s="657"/>
      <c r="AI22" s="1312">
        <v>0</v>
      </c>
      <c r="AJ22" s="1307">
        <v>17</v>
      </c>
      <c r="AK22" s="1289">
        <v>0</v>
      </c>
      <c r="AL22" s="1298">
        <v>0</v>
      </c>
      <c r="AM22" s="1289">
        <v>0</v>
      </c>
      <c r="AN22" s="1289">
        <v>0</v>
      </c>
      <c r="AO22" s="1289">
        <v>0</v>
      </c>
      <c r="AP22" s="1289">
        <v>0</v>
      </c>
      <c r="AQ22" s="1294">
        <v>0</v>
      </c>
      <c r="AR22" s="1308">
        <v>10</v>
      </c>
      <c r="AS22" s="1287" t="s">
        <v>241</v>
      </c>
      <c r="AT22" s="1288"/>
      <c r="AU22" s="1284" t="s">
        <v>531</v>
      </c>
      <c r="AV22" s="1284" t="s">
        <v>531</v>
      </c>
      <c r="AW22" s="1284"/>
      <c r="AX22" s="1285"/>
      <c r="AY22" s="1274">
        <v>4</v>
      </c>
      <c r="AZ22" s="176"/>
      <c r="BA22" s="657"/>
      <c r="BB22" s="1275"/>
      <c r="BC22" s="176"/>
      <c r="BD22" s="657"/>
      <c r="BE22" s="1275"/>
      <c r="BF22" s="176"/>
      <c r="BG22" s="657"/>
      <c r="BH22" s="1275"/>
      <c r="BI22" s="176"/>
      <c r="BJ22" s="657"/>
      <c r="BK22" s="1275"/>
      <c r="BL22" s="176"/>
      <c r="BM22" s="657"/>
      <c r="BN22" s="1275"/>
      <c r="BO22" s="176"/>
      <c r="BP22" s="657"/>
      <c r="BQ22" s="1275"/>
      <c r="BR22" s="176"/>
      <c r="BS22" s="657"/>
      <c r="BT22" s="1275"/>
      <c r="BU22" s="176"/>
      <c r="BV22" s="657"/>
      <c r="BW22" s="1275"/>
      <c r="BX22" s="176"/>
      <c r="BY22" s="657"/>
      <c r="BZ22" s="1312">
        <v>4</v>
      </c>
      <c r="CA22" s="1307">
        <v>12</v>
      </c>
    </row>
    <row r="23" spans="1:79" ht="14.25" customHeight="1">
      <c r="A23" s="1308"/>
      <c r="B23" s="1287"/>
      <c r="C23" s="1288"/>
      <c r="D23" s="1284"/>
      <c r="E23" s="1284"/>
      <c r="F23" s="1284"/>
      <c r="G23" s="1286"/>
      <c r="H23" s="1274"/>
      <c r="I23" s="176"/>
      <c r="J23" s="657"/>
      <c r="K23" s="1275"/>
      <c r="L23" s="176"/>
      <c r="M23" s="657"/>
      <c r="N23" s="1275"/>
      <c r="O23" s="176"/>
      <c r="P23" s="657"/>
      <c r="Q23" s="1275"/>
      <c r="R23" s="176"/>
      <c r="S23" s="657"/>
      <c r="T23" s="1275"/>
      <c r="U23" s="176"/>
      <c r="V23" s="657"/>
      <c r="W23" s="1275"/>
      <c r="X23" s="176"/>
      <c r="Y23" s="657"/>
      <c r="Z23" s="1275"/>
      <c r="AA23" s="176"/>
      <c r="AB23" s="657"/>
      <c r="AC23" s="1275"/>
      <c r="AD23" s="176"/>
      <c r="AE23" s="657"/>
      <c r="AF23" s="1275"/>
      <c r="AG23" s="176"/>
      <c r="AH23" s="657"/>
      <c r="AI23" s="1313"/>
      <c r="AJ23" s="1307"/>
      <c r="AK23" s="1289"/>
      <c r="AL23" s="1298"/>
      <c r="AM23" s="1289"/>
      <c r="AN23" s="1289"/>
      <c r="AO23" s="1289"/>
      <c r="AP23" s="1289"/>
      <c r="AQ23" s="1294"/>
      <c r="AR23" s="1308"/>
      <c r="AS23" s="1287"/>
      <c r="AT23" s="1288"/>
      <c r="AU23" s="1284"/>
      <c r="AV23" s="1284"/>
      <c r="AW23" s="1284"/>
      <c r="AX23" s="1286"/>
      <c r="AY23" s="1274"/>
      <c r="AZ23" s="176"/>
      <c r="BA23" s="657"/>
      <c r="BB23" s="1275"/>
      <c r="BC23" s="176"/>
      <c r="BD23" s="657"/>
      <c r="BE23" s="1275"/>
      <c r="BF23" s="176"/>
      <c r="BG23" s="657"/>
      <c r="BH23" s="1275"/>
      <c r="BI23" s="176"/>
      <c r="BJ23" s="657"/>
      <c r="BK23" s="1275"/>
      <c r="BL23" s="176"/>
      <c r="BM23" s="657"/>
      <c r="BN23" s="1275"/>
      <c r="BO23" s="176"/>
      <c r="BP23" s="657"/>
      <c r="BQ23" s="1275"/>
      <c r="BR23" s="176"/>
      <c r="BS23" s="657"/>
      <c r="BT23" s="1275"/>
      <c r="BU23" s="176"/>
      <c r="BV23" s="657"/>
      <c r="BW23" s="1275"/>
      <c r="BX23" s="176"/>
      <c r="BY23" s="657"/>
      <c r="BZ23" s="1313"/>
      <c r="CA23" s="1307"/>
    </row>
    <row r="24" spans="1:79" ht="14.25" customHeight="1">
      <c r="A24" s="1272">
        <v>11</v>
      </c>
      <c r="B24" s="1273" t="s">
        <v>57</v>
      </c>
      <c r="C24" s="1274"/>
      <c r="D24" s="1275"/>
      <c r="E24" s="1275"/>
      <c r="F24" s="1275"/>
      <c r="G24" s="1310"/>
      <c r="H24" s="1311">
        <v>0</v>
      </c>
      <c r="I24" s="656"/>
      <c r="J24" s="657"/>
      <c r="K24" s="1293"/>
      <c r="L24" s="656"/>
      <c r="M24" s="657"/>
      <c r="N24" s="1293"/>
      <c r="O24" s="656"/>
      <c r="P24" s="657"/>
      <c r="Q24" s="1293"/>
      <c r="R24" s="656"/>
      <c r="S24" s="657"/>
      <c r="T24" s="1293"/>
      <c r="U24" s="656"/>
      <c r="V24" s="657"/>
      <c r="W24" s="1293"/>
      <c r="X24" s="656"/>
      <c r="Y24" s="657"/>
      <c r="Z24" s="1293"/>
      <c r="AA24" s="656"/>
      <c r="AB24" s="657"/>
      <c r="AC24" s="1293"/>
      <c r="AD24" s="656"/>
      <c r="AE24" s="657"/>
      <c r="AF24" s="1293"/>
      <c r="AG24" s="656"/>
      <c r="AH24" s="657"/>
      <c r="AI24" s="1299">
        <v>0</v>
      </c>
      <c r="AJ24" s="1307">
        <v>17</v>
      </c>
      <c r="AK24" s="1289">
        <v>0</v>
      </c>
      <c r="AL24" s="1298">
        <v>0</v>
      </c>
      <c r="AM24" s="1289">
        <v>0</v>
      </c>
      <c r="AN24" s="1289">
        <v>0</v>
      </c>
      <c r="AO24" s="1289">
        <v>0</v>
      </c>
      <c r="AP24" s="1289">
        <v>0</v>
      </c>
      <c r="AQ24" s="1294">
        <v>0</v>
      </c>
      <c r="AR24" s="1272">
        <v>11</v>
      </c>
      <c r="AS24" s="1273" t="s">
        <v>239</v>
      </c>
      <c r="AT24" s="1274"/>
      <c r="AU24" s="1275" t="s">
        <v>531</v>
      </c>
      <c r="AV24" s="1275" t="s">
        <v>531</v>
      </c>
      <c r="AW24" s="1275"/>
      <c r="AX24" s="1310"/>
      <c r="AY24" s="1311">
        <v>0</v>
      </c>
      <c r="AZ24" s="656"/>
      <c r="BA24" s="657"/>
      <c r="BB24" s="1293"/>
      <c r="BC24" s="656"/>
      <c r="BD24" s="657"/>
      <c r="BE24" s="1293"/>
      <c r="BF24" s="656"/>
      <c r="BG24" s="657"/>
      <c r="BH24" s="1293"/>
      <c r="BI24" s="656"/>
      <c r="BJ24" s="657"/>
      <c r="BK24" s="1293"/>
      <c r="BL24" s="656"/>
      <c r="BM24" s="657"/>
      <c r="BN24" s="1293"/>
      <c r="BO24" s="656"/>
      <c r="BP24" s="657"/>
      <c r="BQ24" s="1293"/>
      <c r="BR24" s="656"/>
      <c r="BS24" s="657"/>
      <c r="BT24" s="1293"/>
      <c r="BU24" s="656"/>
      <c r="BV24" s="657"/>
      <c r="BW24" s="1293"/>
      <c r="BX24" s="656"/>
      <c r="BY24" s="657"/>
      <c r="BZ24" s="1299">
        <v>0</v>
      </c>
      <c r="CA24" s="1307">
        <v>12</v>
      </c>
    </row>
    <row r="25" spans="1:79" ht="14.25" customHeight="1">
      <c r="A25" s="1272"/>
      <c r="B25" s="1273"/>
      <c r="C25" s="1274"/>
      <c r="D25" s="1275"/>
      <c r="E25" s="1275"/>
      <c r="F25" s="1275"/>
      <c r="G25" s="1310"/>
      <c r="H25" s="1311"/>
      <c r="I25" s="656"/>
      <c r="J25" s="657"/>
      <c r="K25" s="1293"/>
      <c r="L25" s="656"/>
      <c r="M25" s="657"/>
      <c r="N25" s="1293"/>
      <c r="O25" s="656"/>
      <c r="P25" s="657"/>
      <c r="Q25" s="1293"/>
      <c r="R25" s="656"/>
      <c r="S25" s="657"/>
      <c r="T25" s="1293"/>
      <c r="U25" s="656"/>
      <c r="V25" s="657"/>
      <c r="W25" s="1293"/>
      <c r="X25" s="656"/>
      <c r="Y25" s="657"/>
      <c r="Z25" s="1293"/>
      <c r="AA25" s="656"/>
      <c r="AB25" s="657"/>
      <c r="AC25" s="1293"/>
      <c r="AD25" s="656"/>
      <c r="AE25" s="657"/>
      <c r="AF25" s="1293"/>
      <c r="AG25" s="656"/>
      <c r="AH25" s="657"/>
      <c r="AI25" s="1299"/>
      <c r="AJ25" s="1307"/>
      <c r="AK25" s="1289"/>
      <c r="AL25" s="1298"/>
      <c r="AM25" s="1289"/>
      <c r="AN25" s="1289"/>
      <c r="AO25" s="1289"/>
      <c r="AP25" s="1289"/>
      <c r="AQ25" s="1294"/>
      <c r="AR25" s="1272"/>
      <c r="AS25" s="1273"/>
      <c r="AT25" s="1274"/>
      <c r="AU25" s="1275"/>
      <c r="AV25" s="1275"/>
      <c r="AW25" s="1275"/>
      <c r="AX25" s="1310"/>
      <c r="AY25" s="1311"/>
      <c r="AZ25" s="656"/>
      <c r="BA25" s="657"/>
      <c r="BB25" s="1293"/>
      <c r="BC25" s="656"/>
      <c r="BD25" s="657"/>
      <c r="BE25" s="1293"/>
      <c r="BF25" s="656"/>
      <c r="BG25" s="657"/>
      <c r="BH25" s="1293"/>
      <c r="BI25" s="656"/>
      <c r="BJ25" s="657"/>
      <c r="BK25" s="1293"/>
      <c r="BL25" s="656"/>
      <c r="BM25" s="657"/>
      <c r="BN25" s="1293"/>
      <c r="BO25" s="656"/>
      <c r="BP25" s="657"/>
      <c r="BQ25" s="1293"/>
      <c r="BR25" s="656"/>
      <c r="BS25" s="657"/>
      <c r="BT25" s="1293"/>
      <c r="BU25" s="656"/>
      <c r="BV25" s="657"/>
      <c r="BW25" s="1293"/>
      <c r="BX25" s="656"/>
      <c r="BY25" s="657"/>
      <c r="BZ25" s="1299"/>
      <c r="CA25" s="1307"/>
    </row>
    <row r="26" spans="1:79" ht="14.25" customHeight="1">
      <c r="A26" s="1308">
        <v>12</v>
      </c>
      <c r="B26" s="1287" t="s">
        <v>53</v>
      </c>
      <c r="C26" s="1288"/>
      <c r="D26" s="1284"/>
      <c r="E26" s="1284"/>
      <c r="F26" s="1284"/>
      <c r="G26" s="1285"/>
      <c r="H26" s="1274">
        <v>0</v>
      </c>
      <c r="I26" s="176"/>
      <c r="J26" s="657"/>
      <c r="K26" s="1275"/>
      <c r="L26" s="176"/>
      <c r="M26" s="657"/>
      <c r="N26" s="1275"/>
      <c r="O26" s="176"/>
      <c r="P26" s="657"/>
      <c r="Q26" s="1275"/>
      <c r="R26" s="176"/>
      <c r="S26" s="657"/>
      <c r="T26" s="1275"/>
      <c r="U26" s="176"/>
      <c r="V26" s="657"/>
      <c r="W26" s="1275"/>
      <c r="X26" s="176"/>
      <c r="Y26" s="657"/>
      <c r="Z26" s="1275"/>
      <c r="AA26" s="176"/>
      <c r="AB26" s="657"/>
      <c r="AC26" s="1275"/>
      <c r="AD26" s="176"/>
      <c r="AE26" s="657"/>
      <c r="AF26" s="1275"/>
      <c r="AG26" s="176"/>
      <c r="AH26" s="657"/>
      <c r="AI26" s="1312">
        <v>0</v>
      </c>
      <c r="AJ26" s="1307">
        <v>17</v>
      </c>
      <c r="AK26" s="1289">
        <v>0</v>
      </c>
      <c r="AL26" s="1298">
        <v>0</v>
      </c>
      <c r="AM26" s="1289">
        <v>0</v>
      </c>
      <c r="AN26" s="1289">
        <v>0</v>
      </c>
      <c r="AO26" s="1289">
        <v>0</v>
      </c>
      <c r="AP26" s="1289">
        <v>0</v>
      </c>
      <c r="AQ26" s="1294">
        <v>0</v>
      </c>
      <c r="AR26" s="1308">
        <v>12</v>
      </c>
      <c r="AS26" s="1287" t="s">
        <v>76</v>
      </c>
      <c r="AT26" s="1288"/>
      <c r="AU26" s="1284" t="s">
        <v>531</v>
      </c>
      <c r="AV26" s="1284" t="s">
        <v>531</v>
      </c>
      <c r="AW26" s="1284"/>
      <c r="AX26" s="1285"/>
      <c r="AY26" s="1274">
        <v>1</v>
      </c>
      <c r="AZ26" s="176"/>
      <c r="BA26" s="657"/>
      <c r="BB26" s="1275"/>
      <c r="BC26" s="176"/>
      <c r="BD26" s="657"/>
      <c r="BE26" s="1275"/>
      <c r="BF26" s="176"/>
      <c r="BG26" s="657"/>
      <c r="BH26" s="1275"/>
      <c r="BI26" s="176"/>
      <c r="BJ26" s="657"/>
      <c r="BK26" s="1275"/>
      <c r="BL26" s="176"/>
      <c r="BM26" s="657"/>
      <c r="BN26" s="1275"/>
      <c r="BO26" s="176"/>
      <c r="BP26" s="657"/>
      <c r="BQ26" s="1275"/>
      <c r="BR26" s="176"/>
      <c r="BS26" s="657"/>
      <c r="BT26" s="1275"/>
      <c r="BU26" s="176"/>
      <c r="BV26" s="657"/>
      <c r="BW26" s="1275"/>
      <c r="BX26" s="176"/>
      <c r="BY26" s="657"/>
      <c r="BZ26" s="1312">
        <v>1</v>
      </c>
      <c r="CA26" s="1307">
        <v>13</v>
      </c>
    </row>
    <row r="27" spans="1:79" ht="14.25" customHeight="1">
      <c r="A27" s="1308"/>
      <c r="B27" s="1287"/>
      <c r="C27" s="1288"/>
      <c r="D27" s="1284"/>
      <c r="E27" s="1284"/>
      <c r="F27" s="1284"/>
      <c r="G27" s="1286"/>
      <c r="H27" s="1274"/>
      <c r="I27" s="176"/>
      <c r="J27" s="657"/>
      <c r="K27" s="1275"/>
      <c r="L27" s="176"/>
      <c r="M27" s="657"/>
      <c r="N27" s="1275"/>
      <c r="O27" s="176"/>
      <c r="P27" s="657"/>
      <c r="Q27" s="1275"/>
      <c r="R27" s="176"/>
      <c r="S27" s="657"/>
      <c r="T27" s="1275"/>
      <c r="U27" s="176"/>
      <c r="V27" s="657"/>
      <c r="W27" s="1275"/>
      <c r="X27" s="176"/>
      <c r="Y27" s="657"/>
      <c r="Z27" s="1275"/>
      <c r="AA27" s="176"/>
      <c r="AB27" s="657"/>
      <c r="AC27" s="1275"/>
      <c r="AD27" s="176"/>
      <c r="AE27" s="657"/>
      <c r="AF27" s="1275"/>
      <c r="AG27" s="176"/>
      <c r="AH27" s="657"/>
      <c r="AI27" s="1313"/>
      <c r="AJ27" s="1307"/>
      <c r="AK27" s="1289"/>
      <c r="AL27" s="1298"/>
      <c r="AM27" s="1289"/>
      <c r="AN27" s="1289"/>
      <c r="AO27" s="1289"/>
      <c r="AP27" s="1289"/>
      <c r="AQ27" s="1294"/>
      <c r="AR27" s="1308"/>
      <c r="AS27" s="1287"/>
      <c r="AT27" s="1288"/>
      <c r="AU27" s="1284"/>
      <c r="AV27" s="1284"/>
      <c r="AW27" s="1284"/>
      <c r="AX27" s="1286"/>
      <c r="AY27" s="1274"/>
      <c r="AZ27" s="176"/>
      <c r="BA27" s="657"/>
      <c r="BB27" s="1275"/>
      <c r="BC27" s="176"/>
      <c r="BD27" s="657"/>
      <c r="BE27" s="1275"/>
      <c r="BF27" s="176"/>
      <c r="BG27" s="657"/>
      <c r="BH27" s="1275"/>
      <c r="BI27" s="176"/>
      <c r="BJ27" s="657"/>
      <c r="BK27" s="1275"/>
      <c r="BL27" s="176"/>
      <c r="BM27" s="657"/>
      <c r="BN27" s="1275"/>
      <c r="BO27" s="176"/>
      <c r="BP27" s="657"/>
      <c r="BQ27" s="1275"/>
      <c r="BR27" s="176"/>
      <c r="BS27" s="657"/>
      <c r="BT27" s="1275"/>
      <c r="BU27" s="176"/>
      <c r="BV27" s="657"/>
      <c r="BW27" s="1275"/>
      <c r="BX27" s="176"/>
      <c r="BY27" s="657"/>
      <c r="BZ27" s="1313"/>
      <c r="CA27" s="1307"/>
    </row>
    <row r="28" spans="1:79" ht="14.25" customHeight="1">
      <c r="A28" s="1272">
        <v>13</v>
      </c>
      <c r="B28" s="1273" t="s">
        <v>57</v>
      </c>
      <c r="C28" s="1274" t="s">
        <v>531</v>
      </c>
      <c r="D28" s="1275"/>
      <c r="E28" s="1275"/>
      <c r="F28" s="1275"/>
      <c r="G28" s="1310"/>
      <c r="H28" s="1311">
        <v>5</v>
      </c>
      <c r="I28" s="656" t="s">
        <v>696</v>
      </c>
      <c r="J28" s="657"/>
      <c r="K28" s="1293">
        <v>5</v>
      </c>
      <c r="L28" s="656" t="s">
        <v>696</v>
      </c>
      <c r="M28" s="657"/>
      <c r="N28" s="1293">
        <v>1</v>
      </c>
      <c r="O28" s="656"/>
      <c r="P28" s="657"/>
      <c r="Q28" s="1293"/>
      <c r="R28" s="656"/>
      <c r="S28" s="657"/>
      <c r="T28" s="1293"/>
      <c r="U28" s="656"/>
      <c r="V28" s="657"/>
      <c r="W28" s="1293"/>
      <c r="X28" s="656"/>
      <c r="Y28" s="657"/>
      <c r="Z28" s="1293"/>
      <c r="AA28" s="656"/>
      <c r="AB28" s="657"/>
      <c r="AC28" s="1293"/>
      <c r="AD28" s="656"/>
      <c r="AE28" s="657"/>
      <c r="AF28" s="1293"/>
      <c r="AG28" s="656"/>
      <c r="AH28" s="657"/>
      <c r="AI28" s="1299">
        <v>11</v>
      </c>
      <c r="AJ28" s="1307">
        <v>28</v>
      </c>
      <c r="AK28" s="1289">
        <v>0</v>
      </c>
      <c r="AL28" s="1298">
        <v>0</v>
      </c>
      <c r="AM28" s="1289">
        <v>0</v>
      </c>
      <c r="AN28" s="1289">
        <v>0</v>
      </c>
      <c r="AO28" s="1289">
        <v>0</v>
      </c>
      <c r="AP28" s="1289">
        <v>0</v>
      </c>
      <c r="AQ28" s="1294">
        <v>0</v>
      </c>
      <c r="AR28" s="1272">
        <v>13</v>
      </c>
      <c r="AS28" s="1273" t="s">
        <v>241</v>
      </c>
      <c r="AT28" s="1274" t="s">
        <v>531</v>
      </c>
      <c r="AU28" s="1275"/>
      <c r="AV28" s="1275"/>
      <c r="AW28" s="1275"/>
      <c r="AX28" s="1310"/>
      <c r="AY28" s="1311">
        <v>0</v>
      </c>
      <c r="AZ28" s="656"/>
      <c r="BA28" s="657"/>
      <c r="BB28" s="1293"/>
      <c r="BC28" s="656"/>
      <c r="BD28" s="657"/>
      <c r="BE28" s="1293"/>
      <c r="BF28" s="656"/>
      <c r="BG28" s="657"/>
      <c r="BH28" s="1293"/>
      <c r="BI28" s="656"/>
      <c r="BJ28" s="657"/>
      <c r="BK28" s="1293"/>
      <c r="BL28" s="656"/>
      <c r="BM28" s="657"/>
      <c r="BN28" s="1293"/>
      <c r="BO28" s="656"/>
      <c r="BP28" s="657"/>
      <c r="BQ28" s="1293"/>
      <c r="BR28" s="656"/>
      <c r="BS28" s="657"/>
      <c r="BT28" s="1293"/>
      <c r="BU28" s="656"/>
      <c r="BV28" s="657"/>
      <c r="BW28" s="1293"/>
      <c r="BX28" s="656"/>
      <c r="BY28" s="657"/>
      <c r="BZ28" s="1299">
        <v>0</v>
      </c>
      <c r="CA28" s="1307">
        <v>13</v>
      </c>
    </row>
    <row r="29" spans="1:79" ht="14.25" customHeight="1">
      <c r="A29" s="1272"/>
      <c r="B29" s="1273"/>
      <c r="C29" s="1274"/>
      <c r="D29" s="1275"/>
      <c r="E29" s="1275"/>
      <c r="F29" s="1275"/>
      <c r="G29" s="1310"/>
      <c r="H29" s="1311"/>
      <c r="I29" s="656"/>
      <c r="J29" s="657"/>
      <c r="K29" s="1293"/>
      <c r="L29" s="656"/>
      <c r="M29" s="657"/>
      <c r="N29" s="1293"/>
      <c r="O29" s="656"/>
      <c r="P29" s="657"/>
      <c r="Q29" s="1293"/>
      <c r="R29" s="656"/>
      <c r="S29" s="657"/>
      <c r="T29" s="1293"/>
      <c r="U29" s="656"/>
      <c r="V29" s="657"/>
      <c r="W29" s="1293"/>
      <c r="X29" s="656"/>
      <c r="Y29" s="657"/>
      <c r="Z29" s="1293"/>
      <c r="AA29" s="656"/>
      <c r="AB29" s="657"/>
      <c r="AC29" s="1293"/>
      <c r="AD29" s="656"/>
      <c r="AE29" s="657"/>
      <c r="AF29" s="1293"/>
      <c r="AG29" s="656"/>
      <c r="AH29" s="657"/>
      <c r="AI29" s="1299"/>
      <c r="AJ29" s="1307"/>
      <c r="AK29" s="1289"/>
      <c r="AL29" s="1298"/>
      <c r="AM29" s="1289"/>
      <c r="AN29" s="1289"/>
      <c r="AO29" s="1289"/>
      <c r="AP29" s="1289"/>
      <c r="AQ29" s="1294"/>
      <c r="AR29" s="1272"/>
      <c r="AS29" s="1273"/>
      <c r="AT29" s="1274"/>
      <c r="AU29" s="1275"/>
      <c r="AV29" s="1275"/>
      <c r="AW29" s="1275"/>
      <c r="AX29" s="1310"/>
      <c r="AY29" s="1311"/>
      <c r="AZ29" s="656"/>
      <c r="BA29" s="657"/>
      <c r="BB29" s="1293"/>
      <c r="BC29" s="656"/>
      <c r="BD29" s="657"/>
      <c r="BE29" s="1293"/>
      <c r="BF29" s="656"/>
      <c r="BG29" s="657"/>
      <c r="BH29" s="1293"/>
      <c r="BI29" s="656"/>
      <c r="BJ29" s="657"/>
      <c r="BK29" s="1293"/>
      <c r="BL29" s="656"/>
      <c r="BM29" s="657"/>
      <c r="BN29" s="1293"/>
      <c r="BO29" s="656"/>
      <c r="BP29" s="657"/>
      <c r="BQ29" s="1293"/>
      <c r="BR29" s="656"/>
      <c r="BS29" s="657"/>
      <c r="BT29" s="1293"/>
      <c r="BU29" s="656"/>
      <c r="BV29" s="657"/>
      <c r="BW29" s="1293"/>
      <c r="BX29" s="656"/>
      <c r="BY29" s="657"/>
      <c r="BZ29" s="1299"/>
      <c r="CA29" s="1307"/>
    </row>
    <row r="30" spans="1:79" ht="14.25" customHeight="1">
      <c r="A30" s="1308">
        <v>14</v>
      </c>
      <c r="B30" s="1287" t="s">
        <v>57</v>
      </c>
      <c r="C30" s="1288"/>
      <c r="D30" s="1284"/>
      <c r="E30" s="1284"/>
      <c r="F30" s="1284"/>
      <c r="G30" s="1285"/>
      <c r="H30" s="1274">
        <v>0</v>
      </c>
      <c r="I30" s="176"/>
      <c r="J30" s="657"/>
      <c r="K30" s="1275"/>
      <c r="L30" s="176"/>
      <c r="M30" s="657"/>
      <c r="N30" s="1275"/>
      <c r="O30" s="176"/>
      <c r="P30" s="657"/>
      <c r="Q30" s="1275"/>
      <c r="R30" s="176"/>
      <c r="S30" s="657"/>
      <c r="T30" s="1275"/>
      <c r="U30" s="176"/>
      <c r="V30" s="657"/>
      <c r="W30" s="1275"/>
      <c r="X30" s="176"/>
      <c r="Y30" s="657"/>
      <c r="Z30" s="1275"/>
      <c r="AA30" s="176"/>
      <c r="AB30" s="657"/>
      <c r="AC30" s="1275"/>
      <c r="AD30" s="176"/>
      <c r="AE30" s="657"/>
      <c r="AF30" s="1275"/>
      <c r="AG30" s="176"/>
      <c r="AH30" s="657"/>
      <c r="AI30" s="1312">
        <v>0</v>
      </c>
      <c r="AJ30" s="1307">
        <v>28</v>
      </c>
      <c r="AK30" s="1289">
        <v>0</v>
      </c>
      <c r="AL30" s="1298">
        <v>0</v>
      </c>
      <c r="AM30" s="1289">
        <v>0</v>
      </c>
      <c r="AN30" s="1289">
        <v>0</v>
      </c>
      <c r="AO30" s="1289">
        <v>0</v>
      </c>
      <c r="AP30" s="1289">
        <v>0</v>
      </c>
      <c r="AQ30" s="1294">
        <v>0</v>
      </c>
      <c r="AR30" s="1308">
        <v>14</v>
      </c>
      <c r="AS30" s="1287" t="s">
        <v>241</v>
      </c>
      <c r="AT30" s="1288"/>
      <c r="AU30" s="1284" t="s">
        <v>531</v>
      </c>
      <c r="AV30" s="1284" t="s">
        <v>531</v>
      </c>
      <c r="AW30" s="1284"/>
      <c r="AX30" s="1285"/>
      <c r="AY30" s="1274">
        <v>5</v>
      </c>
      <c r="AZ30" s="176" t="s">
        <v>696</v>
      </c>
      <c r="BA30" s="657"/>
      <c r="BB30" s="1275">
        <v>5</v>
      </c>
      <c r="BC30" s="176" t="s">
        <v>696</v>
      </c>
      <c r="BD30" s="657"/>
      <c r="BE30" s="1275"/>
      <c r="BF30" s="176"/>
      <c r="BG30" s="657"/>
      <c r="BH30" s="1275"/>
      <c r="BI30" s="176"/>
      <c r="BJ30" s="657"/>
      <c r="BK30" s="1275"/>
      <c r="BL30" s="176"/>
      <c r="BM30" s="657"/>
      <c r="BN30" s="1275"/>
      <c r="BO30" s="176"/>
      <c r="BP30" s="657"/>
      <c r="BQ30" s="1275"/>
      <c r="BR30" s="176"/>
      <c r="BS30" s="657"/>
      <c r="BT30" s="1275"/>
      <c r="BU30" s="176"/>
      <c r="BV30" s="657"/>
      <c r="BW30" s="1275"/>
      <c r="BX30" s="176"/>
      <c r="BY30" s="657"/>
      <c r="BZ30" s="1312">
        <v>10</v>
      </c>
      <c r="CA30" s="1307">
        <v>23</v>
      </c>
    </row>
    <row r="31" spans="1:79" ht="14.25" customHeight="1">
      <c r="A31" s="1308"/>
      <c r="B31" s="1287"/>
      <c r="C31" s="1288"/>
      <c r="D31" s="1284"/>
      <c r="E31" s="1284"/>
      <c r="F31" s="1284"/>
      <c r="G31" s="1286"/>
      <c r="H31" s="1274"/>
      <c r="I31" s="176"/>
      <c r="J31" s="657"/>
      <c r="K31" s="1275"/>
      <c r="L31" s="176"/>
      <c r="M31" s="657"/>
      <c r="N31" s="1275"/>
      <c r="O31" s="176"/>
      <c r="P31" s="657"/>
      <c r="Q31" s="1275"/>
      <c r="R31" s="176"/>
      <c r="S31" s="657"/>
      <c r="T31" s="1275"/>
      <c r="U31" s="176"/>
      <c r="V31" s="657"/>
      <c r="W31" s="1275"/>
      <c r="X31" s="176"/>
      <c r="Y31" s="657"/>
      <c r="Z31" s="1275"/>
      <c r="AA31" s="176"/>
      <c r="AB31" s="657"/>
      <c r="AC31" s="1275"/>
      <c r="AD31" s="176"/>
      <c r="AE31" s="657"/>
      <c r="AF31" s="1275"/>
      <c r="AG31" s="176"/>
      <c r="AH31" s="657"/>
      <c r="AI31" s="1313"/>
      <c r="AJ31" s="1307"/>
      <c r="AK31" s="1289"/>
      <c r="AL31" s="1298"/>
      <c r="AM31" s="1289"/>
      <c r="AN31" s="1289"/>
      <c r="AO31" s="1289"/>
      <c r="AP31" s="1289"/>
      <c r="AQ31" s="1294"/>
      <c r="AR31" s="1308"/>
      <c r="AS31" s="1287"/>
      <c r="AT31" s="1288"/>
      <c r="AU31" s="1284"/>
      <c r="AV31" s="1284"/>
      <c r="AW31" s="1284"/>
      <c r="AX31" s="1286"/>
      <c r="AY31" s="1274"/>
      <c r="AZ31" s="176"/>
      <c r="BA31" s="657"/>
      <c r="BB31" s="1275"/>
      <c r="BC31" s="176"/>
      <c r="BD31" s="657"/>
      <c r="BE31" s="1275"/>
      <c r="BF31" s="176"/>
      <c r="BG31" s="657"/>
      <c r="BH31" s="1275"/>
      <c r="BI31" s="176"/>
      <c r="BJ31" s="657"/>
      <c r="BK31" s="1275"/>
      <c r="BL31" s="176"/>
      <c r="BM31" s="657"/>
      <c r="BN31" s="1275"/>
      <c r="BO31" s="176"/>
      <c r="BP31" s="657"/>
      <c r="BQ31" s="1275"/>
      <c r="BR31" s="176"/>
      <c r="BS31" s="657"/>
      <c r="BT31" s="1275"/>
      <c r="BU31" s="176"/>
      <c r="BV31" s="657"/>
      <c r="BW31" s="1275"/>
      <c r="BX31" s="176"/>
      <c r="BY31" s="657"/>
      <c r="BZ31" s="1313"/>
      <c r="CA31" s="1307"/>
    </row>
    <row r="32" spans="1:79" ht="14.25" customHeight="1">
      <c r="A32" s="1272">
        <v>15</v>
      </c>
      <c r="B32" s="1273" t="s">
        <v>223</v>
      </c>
      <c r="C32" s="1274"/>
      <c r="D32" s="1275" t="s">
        <v>531</v>
      </c>
      <c r="E32" s="1275" t="s">
        <v>531</v>
      </c>
      <c r="F32" s="1275"/>
      <c r="G32" s="1310"/>
      <c r="H32" s="1311">
        <v>4</v>
      </c>
      <c r="I32" s="656" t="s">
        <v>527</v>
      </c>
      <c r="J32" s="657"/>
      <c r="K32" s="1293"/>
      <c r="L32" s="656"/>
      <c r="M32" s="657"/>
      <c r="N32" s="1293"/>
      <c r="O32" s="656"/>
      <c r="P32" s="657"/>
      <c r="Q32" s="1293"/>
      <c r="R32" s="656"/>
      <c r="S32" s="657"/>
      <c r="T32" s="1293"/>
      <c r="U32" s="656"/>
      <c r="V32" s="657"/>
      <c r="W32" s="1293"/>
      <c r="X32" s="656"/>
      <c r="Y32" s="657"/>
      <c r="Z32" s="1293"/>
      <c r="AA32" s="656"/>
      <c r="AB32" s="657"/>
      <c r="AC32" s="1293"/>
      <c r="AD32" s="656"/>
      <c r="AE32" s="657"/>
      <c r="AF32" s="1293"/>
      <c r="AG32" s="656"/>
      <c r="AH32" s="657"/>
      <c r="AI32" s="1299">
        <v>4</v>
      </c>
      <c r="AJ32" s="1307">
        <v>32</v>
      </c>
      <c r="AK32" s="1289">
        <v>0</v>
      </c>
      <c r="AL32" s="1298">
        <v>0</v>
      </c>
      <c r="AM32" s="1289">
        <v>0</v>
      </c>
      <c r="AN32" s="1289">
        <v>0</v>
      </c>
      <c r="AO32" s="1289">
        <v>0</v>
      </c>
      <c r="AP32" s="1289">
        <v>0</v>
      </c>
      <c r="AQ32" s="1294">
        <v>0</v>
      </c>
      <c r="AR32" s="1272">
        <v>15</v>
      </c>
      <c r="AS32" s="1273" t="s">
        <v>76</v>
      </c>
      <c r="AT32" s="1274"/>
      <c r="AU32" s="1275"/>
      <c r="AV32" s="1275"/>
      <c r="AW32" s="1275"/>
      <c r="AX32" s="1310"/>
      <c r="AY32" s="1311">
        <v>0</v>
      </c>
      <c r="AZ32" s="656"/>
      <c r="BA32" s="657"/>
      <c r="BB32" s="1293"/>
      <c r="BC32" s="656"/>
      <c r="BD32" s="657"/>
      <c r="BE32" s="1293"/>
      <c r="BF32" s="656"/>
      <c r="BG32" s="657"/>
      <c r="BH32" s="1293"/>
      <c r="BI32" s="656"/>
      <c r="BJ32" s="657"/>
      <c r="BK32" s="1293"/>
      <c r="BL32" s="656"/>
      <c r="BM32" s="657"/>
      <c r="BN32" s="1293"/>
      <c r="BO32" s="656"/>
      <c r="BP32" s="657"/>
      <c r="BQ32" s="1293"/>
      <c r="BR32" s="656"/>
      <c r="BS32" s="657"/>
      <c r="BT32" s="1293"/>
      <c r="BU32" s="656"/>
      <c r="BV32" s="657"/>
      <c r="BW32" s="1293"/>
      <c r="BX32" s="656"/>
      <c r="BY32" s="657"/>
      <c r="BZ32" s="1299">
        <v>0</v>
      </c>
      <c r="CA32" s="1307">
        <v>23</v>
      </c>
    </row>
    <row r="33" spans="1:79" ht="14.25" customHeight="1">
      <c r="A33" s="1272"/>
      <c r="B33" s="1273"/>
      <c r="C33" s="1274"/>
      <c r="D33" s="1275"/>
      <c r="E33" s="1275"/>
      <c r="F33" s="1275"/>
      <c r="G33" s="1310"/>
      <c r="H33" s="1311"/>
      <c r="I33" s="656"/>
      <c r="J33" s="657"/>
      <c r="K33" s="1293"/>
      <c r="L33" s="656"/>
      <c r="M33" s="657"/>
      <c r="N33" s="1293"/>
      <c r="O33" s="656"/>
      <c r="P33" s="657"/>
      <c r="Q33" s="1293"/>
      <c r="R33" s="656"/>
      <c r="S33" s="657"/>
      <c r="T33" s="1293"/>
      <c r="U33" s="656"/>
      <c r="V33" s="657"/>
      <c r="W33" s="1293"/>
      <c r="X33" s="656"/>
      <c r="Y33" s="657"/>
      <c r="Z33" s="1293"/>
      <c r="AA33" s="656"/>
      <c r="AB33" s="657"/>
      <c r="AC33" s="1293"/>
      <c r="AD33" s="656"/>
      <c r="AE33" s="657"/>
      <c r="AF33" s="1293"/>
      <c r="AG33" s="656"/>
      <c r="AH33" s="657"/>
      <c r="AI33" s="1299"/>
      <c r="AJ33" s="1307"/>
      <c r="AK33" s="1289"/>
      <c r="AL33" s="1298"/>
      <c r="AM33" s="1289"/>
      <c r="AN33" s="1289"/>
      <c r="AO33" s="1289"/>
      <c r="AP33" s="1289"/>
      <c r="AQ33" s="1294"/>
      <c r="AR33" s="1272"/>
      <c r="AS33" s="1273"/>
      <c r="AT33" s="1274"/>
      <c r="AU33" s="1275"/>
      <c r="AV33" s="1275"/>
      <c r="AW33" s="1275"/>
      <c r="AX33" s="1310"/>
      <c r="AY33" s="1311"/>
      <c r="AZ33" s="656"/>
      <c r="BA33" s="657"/>
      <c r="BB33" s="1293"/>
      <c r="BC33" s="656"/>
      <c r="BD33" s="657"/>
      <c r="BE33" s="1293"/>
      <c r="BF33" s="656"/>
      <c r="BG33" s="657"/>
      <c r="BH33" s="1293"/>
      <c r="BI33" s="656"/>
      <c r="BJ33" s="657"/>
      <c r="BK33" s="1293"/>
      <c r="BL33" s="656"/>
      <c r="BM33" s="657"/>
      <c r="BN33" s="1293"/>
      <c r="BO33" s="656"/>
      <c r="BP33" s="657"/>
      <c r="BQ33" s="1293"/>
      <c r="BR33" s="656"/>
      <c r="BS33" s="657"/>
      <c r="BT33" s="1293"/>
      <c r="BU33" s="656"/>
      <c r="BV33" s="657"/>
      <c r="BW33" s="1293"/>
      <c r="BX33" s="656"/>
      <c r="BY33" s="657"/>
      <c r="BZ33" s="1299"/>
      <c r="CA33" s="1307"/>
    </row>
    <row r="34" spans="1:79" ht="14.25" customHeight="1">
      <c r="A34" s="1308">
        <v>16</v>
      </c>
      <c r="B34" s="1287" t="s">
        <v>53</v>
      </c>
      <c r="C34" s="1288"/>
      <c r="D34" s="1284" t="s">
        <v>531</v>
      </c>
      <c r="E34" s="1284" t="s">
        <v>531</v>
      </c>
      <c r="F34" s="1284"/>
      <c r="G34" s="1285"/>
      <c r="H34" s="1274">
        <v>5</v>
      </c>
      <c r="I34" s="176" t="s">
        <v>527</v>
      </c>
      <c r="J34" s="657" t="s">
        <v>461</v>
      </c>
      <c r="K34" s="1275">
        <v>4</v>
      </c>
      <c r="L34" s="176" t="s">
        <v>527</v>
      </c>
      <c r="M34" s="657"/>
      <c r="N34" s="1275"/>
      <c r="O34" s="176"/>
      <c r="P34" s="657"/>
      <c r="Q34" s="1275"/>
      <c r="R34" s="176"/>
      <c r="S34" s="657"/>
      <c r="T34" s="1275"/>
      <c r="U34" s="176"/>
      <c r="V34" s="657"/>
      <c r="W34" s="1275"/>
      <c r="X34" s="176"/>
      <c r="Y34" s="657"/>
      <c r="Z34" s="1275"/>
      <c r="AA34" s="176"/>
      <c r="AB34" s="657"/>
      <c r="AC34" s="1275"/>
      <c r="AD34" s="176"/>
      <c r="AE34" s="657"/>
      <c r="AF34" s="1275"/>
      <c r="AG34" s="176"/>
      <c r="AH34" s="657"/>
      <c r="AI34" s="1312">
        <v>9</v>
      </c>
      <c r="AJ34" s="1307">
        <v>41</v>
      </c>
      <c r="AK34" s="1289">
        <v>0</v>
      </c>
      <c r="AL34" s="1298">
        <v>0</v>
      </c>
      <c r="AM34" s="1289">
        <v>0</v>
      </c>
      <c r="AN34" s="1289">
        <v>0</v>
      </c>
      <c r="AO34" s="1289">
        <v>0</v>
      </c>
      <c r="AP34" s="1289">
        <v>0</v>
      </c>
      <c r="AQ34" s="1294">
        <v>0</v>
      </c>
      <c r="AR34" s="1308">
        <v>16</v>
      </c>
      <c r="AS34" s="1287" t="s">
        <v>239</v>
      </c>
      <c r="AT34" s="1288"/>
      <c r="AU34" s="1284"/>
      <c r="AV34" s="1284"/>
      <c r="AW34" s="1284"/>
      <c r="AX34" s="1285"/>
      <c r="AY34" s="1274">
        <v>0</v>
      </c>
      <c r="AZ34" s="176"/>
      <c r="BA34" s="657"/>
      <c r="BB34" s="1275"/>
      <c r="BC34" s="176"/>
      <c r="BD34" s="657"/>
      <c r="BE34" s="1275"/>
      <c r="BF34" s="176"/>
      <c r="BG34" s="657"/>
      <c r="BH34" s="1275"/>
      <c r="BI34" s="176"/>
      <c r="BJ34" s="657"/>
      <c r="BK34" s="1275"/>
      <c r="BL34" s="176"/>
      <c r="BM34" s="657"/>
      <c r="BN34" s="1275"/>
      <c r="BO34" s="176"/>
      <c r="BP34" s="657"/>
      <c r="BQ34" s="1275"/>
      <c r="BR34" s="176"/>
      <c r="BS34" s="657"/>
      <c r="BT34" s="1275"/>
      <c r="BU34" s="176"/>
      <c r="BV34" s="657"/>
      <c r="BW34" s="1275"/>
      <c r="BX34" s="176"/>
      <c r="BY34" s="657"/>
      <c r="BZ34" s="1312">
        <v>0</v>
      </c>
      <c r="CA34" s="1307">
        <v>23</v>
      </c>
    </row>
    <row r="35" spans="1:79" ht="14.25" customHeight="1">
      <c r="A35" s="1308"/>
      <c r="B35" s="1287"/>
      <c r="C35" s="1288"/>
      <c r="D35" s="1284"/>
      <c r="E35" s="1284"/>
      <c r="F35" s="1284"/>
      <c r="G35" s="1286"/>
      <c r="H35" s="1274"/>
      <c r="I35" s="176"/>
      <c r="J35" s="657"/>
      <c r="K35" s="1275"/>
      <c r="L35" s="176"/>
      <c r="M35" s="657"/>
      <c r="N35" s="1275"/>
      <c r="O35" s="176"/>
      <c r="P35" s="657"/>
      <c r="Q35" s="1275"/>
      <c r="R35" s="176"/>
      <c r="S35" s="657"/>
      <c r="T35" s="1275"/>
      <c r="U35" s="176"/>
      <c r="V35" s="657"/>
      <c r="W35" s="1275"/>
      <c r="X35" s="176"/>
      <c r="Y35" s="657"/>
      <c r="Z35" s="1275"/>
      <c r="AA35" s="176"/>
      <c r="AB35" s="657"/>
      <c r="AC35" s="1275"/>
      <c r="AD35" s="176"/>
      <c r="AE35" s="657"/>
      <c r="AF35" s="1275"/>
      <c r="AG35" s="176"/>
      <c r="AH35" s="657"/>
      <c r="AI35" s="1313"/>
      <c r="AJ35" s="1307"/>
      <c r="AK35" s="1289"/>
      <c r="AL35" s="1298"/>
      <c r="AM35" s="1289"/>
      <c r="AN35" s="1289"/>
      <c r="AO35" s="1289"/>
      <c r="AP35" s="1289"/>
      <c r="AQ35" s="1294"/>
      <c r="AR35" s="1308"/>
      <c r="AS35" s="1287"/>
      <c r="AT35" s="1288"/>
      <c r="AU35" s="1284"/>
      <c r="AV35" s="1284"/>
      <c r="AW35" s="1284"/>
      <c r="AX35" s="1286"/>
      <c r="AY35" s="1274"/>
      <c r="AZ35" s="176"/>
      <c r="BA35" s="657"/>
      <c r="BB35" s="1275"/>
      <c r="BC35" s="176"/>
      <c r="BD35" s="657"/>
      <c r="BE35" s="1275"/>
      <c r="BF35" s="176"/>
      <c r="BG35" s="657"/>
      <c r="BH35" s="1275"/>
      <c r="BI35" s="176"/>
      <c r="BJ35" s="657"/>
      <c r="BK35" s="1275"/>
      <c r="BL35" s="176"/>
      <c r="BM35" s="657"/>
      <c r="BN35" s="1275"/>
      <c r="BO35" s="176"/>
      <c r="BP35" s="657"/>
      <c r="BQ35" s="1275"/>
      <c r="BR35" s="176"/>
      <c r="BS35" s="657"/>
      <c r="BT35" s="1275"/>
      <c r="BU35" s="176"/>
      <c r="BV35" s="657"/>
      <c r="BW35" s="1275"/>
      <c r="BX35" s="176"/>
      <c r="BY35" s="657"/>
      <c r="BZ35" s="1313"/>
      <c r="CA35" s="1307"/>
    </row>
    <row r="36" spans="1:79" ht="14.25" customHeight="1">
      <c r="A36" s="1272">
        <v>17</v>
      </c>
      <c r="B36" s="1273" t="s">
        <v>223</v>
      </c>
      <c r="C36" s="1274"/>
      <c r="D36" s="1275" t="s">
        <v>531</v>
      </c>
      <c r="E36" s="1275" t="s">
        <v>531</v>
      </c>
      <c r="F36" s="1275"/>
      <c r="G36" s="1310"/>
      <c r="H36" s="1311">
        <v>4</v>
      </c>
      <c r="I36" s="656"/>
      <c r="J36" s="657"/>
      <c r="K36" s="1293"/>
      <c r="L36" s="656"/>
      <c r="M36" s="657"/>
      <c r="N36" s="1293"/>
      <c r="O36" s="656"/>
      <c r="P36" s="657"/>
      <c r="Q36" s="1293"/>
      <c r="R36" s="656"/>
      <c r="S36" s="657"/>
      <c r="T36" s="1293"/>
      <c r="U36" s="656"/>
      <c r="V36" s="657"/>
      <c r="W36" s="1293"/>
      <c r="X36" s="656"/>
      <c r="Y36" s="657"/>
      <c r="Z36" s="1293"/>
      <c r="AA36" s="656"/>
      <c r="AB36" s="657"/>
      <c r="AC36" s="1293"/>
      <c r="AD36" s="656"/>
      <c r="AE36" s="657"/>
      <c r="AF36" s="1293"/>
      <c r="AG36" s="656"/>
      <c r="AH36" s="657"/>
      <c r="AI36" s="1299">
        <v>4</v>
      </c>
      <c r="AJ36" s="1307">
        <v>45</v>
      </c>
      <c r="AK36" s="1289">
        <v>0</v>
      </c>
      <c r="AL36" s="1298">
        <v>0</v>
      </c>
      <c r="AM36" s="1289">
        <v>0</v>
      </c>
      <c r="AN36" s="1289">
        <v>0</v>
      </c>
      <c r="AO36" s="1289">
        <v>0</v>
      </c>
      <c r="AP36" s="1289">
        <v>0</v>
      </c>
      <c r="AQ36" s="1294">
        <v>0</v>
      </c>
      <c r="AR36" s="1272">
        <v>17</v>
      </c>
      <c r="AS36" s="1273" t="s">
        <v>76</v>
      </c>
      <c r="AT36" s="1274"/>
      <c r="AU36" s="1275"/>
      <c r="AV36" s="1275"/>
      <c r="AW36" s="1275"/>
      <c r="AX36" s="1310"/>
      <c r="AY36" s="1311">
        <v>0</v>
      </c>
      <c r="AZ36" s="656"/>
      <c r="BA36" s="657"/>
      <c r="BB36" s="1293"/>
      <c r="BC36" s="656"/>
      <c r="BD36" s="657"/>
      <c r="BE36" s="1293"/>
      <c r="BF36" s="656"/>
      <c r="BG36" s="657"/>
      <c r="BH36" s="1293"/>
      <c r="BI36" s="656"/>
      <c r="BJ36" s="657"/>
      <c r="BK36" s="1293"/>
      <c r="BL36" s="656"/>
      <c r="BM36" s="657"/>
      <c r="BN36" s="1293"/>
      <c r="BO36" s="656"/>
      <c r="BP36" s="657"/>
      <c r="BQ36" s="1293"/>
      <c r="BR36" s="656"/>
      <c r="BS36" s="657"/>
      <c r="BT36" s="1293"/>
      <c r="BU36" s="656"/>
      <c r="BV36" s="657"/>
      <c r="BW36" s="1293"/>
      <c r="BX36" s="656"/>
      <c r="BY36" s="657"/>
      <c r="BZ36" s="1299">
        <v>0</v>
      </c>
      <c r="CA36" s="1307">
        <v>23</v>
      </c>
    </row>
    <row r="37" spans="1:79" ht="14.25" customHeight="1">
      <c r="A37" s="1272"/>
      <c r="B37" s="1273"/>
      <c r="C37" s="1274"/>
      <c r="D37" s="1275"/>
      <c r="E37" s="1275"/>
      <c r="F37" s="1275"/>
      <c r="G37" s="1310"/>
      <c r="H37" s="1311"/>
      <c r="I37" s="656"/>
      <c r="J37" s="657"/>
      <c r="K37" s="1293"/>
      <c r="L37" s="656"/>
      <c r="M37" s="657"/>
      <c r="N37" s="1293"/>
      <c r="O37" s="656"/>
      <c r="P37" s="657"/>
      <c r="Q37" s="1293"/>
      <c r="R37" s="656"/>
      <c r="S37" s="657"/>
      <c r="T37" s="1293"/>
      <c r="U37" s="656"/>
      <c r="V37" s="657"/>
      <c r="W37" s="1293"/>
      <c r="X37" s="656"/>
      <c r="Y37" s="657"/>
      <c r="Z37" s="1293"/>
      <c r="AA37" s="656"/>
      <c r="AB37" s="657"/>
      <c r="AC37" s="1293"/>
      <c r="AD37" s="656"/>
      <c r="AE37" s="657"/>
      <c r="AF37" s="1293"/>
      <c r="AG37" s="656"/>
      <c r="AH37" s="657"/>
      <c r="AI37" s="1299"/>
      <c r="AJ37" s="1307"/>
      <c r="AK37" s="1289"/>
      <c r="AL37" s="1298"/>
      <c r="AM37" s="1289"/>
      <c r="AN37" s="1289"/>
      <c r="AO37" s="1289"/>
      <c r="AP37" s="1289"/>
      <c r="AQ37" s="1294"/>
      <c r="AR37" s="1272"/>
      <c r="AS37" s="1273"/>
      <c r="AT37" s="1274"/>
      <c r="AU37" s="1275"/>
      <c r="AV37" s="1275"/>
      <c r="AW37" s="1275"/>
      <c r="AX37" s="1310"/>
      <c r="AY37" s="1311"/>
      <c r="AZ37" s="656"/>
      <c r="BA37" s="657"/>
      <c r="BB37" s="1293"/>
      <c r="BC37" s="656"/>
      <c r="BD37" s="657"/>
      <c r="BE37" s="1293"/>
      <c r="BF37" s="656"/>
      <c r="BG37" s="657"/>
      <c r="BH37" s="1293"/>
      <c r="BI37" s="656"/>
      <c r="BJ37" s="657"/>
      <c r="BK37" s="1293"/>
      <c r="BL37" s="656"/>
      <c r="BM37" s="657"/>
      <c r="BN37" s="1293"/>
      <c r="BO37" s="656"/>
      <c r="BP37" s="657"/>
      <c r="BQ37" s="1293"/>
      <c r="BR37" s="656"/>
      <c r="BS37" s="657"/>
      <c r="BT37" s="1293"/>
      <c r="BU37" s="656"/>
      <c r="BV37" s="657"/>
      <c r="BW37" s="1293"/>
      <c r="BX37" s="656"/>
      <c r="BY37" s="657"/>
      <c r="BZ37" s="1299"/>
      <c r="CA37" s="1307"/>
    </row>
    <row r="38" spans="1:79" ht="14.25" customHeight="1">
      <c r="A38" s="1308">
        <v>18</v>
      </c>
      <c r="B38" s="1287" t="s">
        <v>59</v>
      </c>
      <c r="C38" s="1288"/>
      <c r="D38" s="1284"/>
      <c r="E38" s="1284"/>
      <c r="F38" s="1284"/>
      <c r="G38" s="1285"/>
      <c r="H38" s="1274">
        <v>0</v>
      </c>
      <c r="I38" s="176"/>
      <c r="J38" s="657"/>
      <c r="K38" s="1275"/>
      <c r="L38" s="176"/>
      <c r="M38" s="657"/>
      <c r="N38" s="1275"/>
      <c r="O38" s="176"/>
      <c r="P38" s="657"/>
      <c r="Q38" s="1275"/>
      <c r="R38" s="176"/>
      <c r="S38" s="657"/>
      <c r="T38" s="1275"/>
      <c r="U38" s="176"/>
      <c r="V38" s="657"/>
      <c r="W38" s="1275"/>
      <c r="X38" s="176"/>
      <c r="Y38" s="657"/>
      <c r="Z38" s="1275"/>
      <c r="AA38" s="176"/>
      <c r="AB38" s="657"/>
      <c r="AC38" s="1275"/>
      <c r="AD38" s="176"/>
      <c r="AE38" s="657"/>
      <c r="AF38" s="1275"/>
      <c r="AG38" s="176"/>
      <c r="AH38" s="657"/>
      <c r="AI38" s="1312">
        <v>0</v>
      </c>
      <c r="AJ38" s="1307">
        <v>45</v>
      </c>
      <c r="AK38" s="1289">
        <v>0</v>
      </c>
      <c r="AL38" s="1298">
        <v>0</v>
      </c>
      <c r="AM38" s="1289">
        <v>0</v>
      </c>
      <c r="AN38" s="1289">
        <v>0</v>
      </c>
      <c r="AO38" s="1289">
        <v>0</v>
      </c>
      <c r="AP38" s="1289">
        <v>0</v>
      </c>
      <c r="AQ38" s="1294">
        <v>0</v>
      </c>
      <c r="AR38" s="1308">
        <v>18</v>
      </c>
      <c r="AS38" s="1287" t="s">
        <v>241</v>
      </c>
      <c r="AT38" s="1288"/>
      <c r="AU38" s="1284" t="s">
        <v>531</v>
      </c>
      <c r="AV38" s="1284" t="s">
        <v>531</v>
      </c>
      <c r="AW38" s="1284"/>
      <c r="AX38" s="1285"/>
      <c r="AY38" s="1274">
        <v>3</v>
      </c>
      <c r="AZ38" s="176"/>
      <c r="BA38" s="657"/>
      <c r="BB38" s="1275"/>
      <c r="BC38" s="176"/>
      <c r="BD38" s="657"/>
      <c r="BE38" s="1275"/>
      <c r="BF38" s="176"/>
      <c r="BG38" s="657"/>
      <c r="BH38" s="1275"/>
      <c r="BI38" s="176"/>
      <c r="BJ38" s="657"/>
      <c r="BK38" s="1275"/>
      <c r="BL38" s="176"/>
      <c r="BM38" s="657"/>
      <c r="BN38" s="1275"/>
      <c r="BO38" s="176"/>
      <c r="BP38" s="657"/>
      <c r="BQ38" s="1275"/>
      <c r="BR38" s="176"/>
      <c r="BS38" s="657"/>
      <c r="BT38" s="1275"/>
      <c r="BU38" s="176"/>
      <c r="BV38" s="657"/>
      <c r="BW38" s="1275"/>
      <c r="BX38" s="176"/>
      <c r="BY38" s="657"/>
      <c r="BZ38" s="1312">
        <v>3</v>
      </c>
      <c r="CA38" s="1307">
        <v>26</v>
      </c>
    </row>
    <row r="39" spans="1:79" ht="14.25" customHeight="1">
      <c r="A39" s="1308"/>
      <c r="B39" s="1287"/>
      <c r="C39" s="1288"/>
      <c r="D39" s="1284"/>
      <c r="E39" s="1284"/>
      <c r="F39" s="1284"/>
      <c r="G39" s="1286"/>
      <c r="H39" s="1274"/>
      <c r="I39" s="176"/>
      <c r="J39" s="657"/>
      <c r="K39" s="1275"/>
      <c r="L39" s="176"/>
      <c r="M39" s="657"/>
      <c r="N39" s="1275"/>
      <c r="O39" s="176"/>
      <c r="P39" s="657"/>
      <c r="Q39" s="1275"/>
      <c r="R39" s="176"/>
      <c r="S39" s="657"/>
      <c r="T39" s="1275"/>
      <c r="U39" s="176"/>
      <c r="V39" s="657"/>
      <c r="W39" s="1275"/>
      <c r="X39" s="176"/>
      <c r="Y39" s="657"/>
      <c r="Z39" s="1275"/>
      <c r="AA39" s="176"/>
      <c r="AB39" s="657"/>
      <c r="AC39" s="1275"/>
      <c r="AD39" s="176"/>
      <c r="AE39" s="657"/>
      <c r="AF39" s="1275"/>
      <c r="AG39" s="176"/>
      <c r="AH39" s="657"/>
      <c r="AI39" s="1313"/>
      <c r="AJ39" s="1307"/>
      <c r="AK39" s="1289"/>
      <c r="AL39" s="1298"/>
      <c r="AM39" s="1289"/>
      <c r="AN39" s="1289"/>
      <c r="AO39" s="1289"/>
      <c r="AP39" s="1289"/>
      <c r="AQ39" s="1294"/>
      <c r="AR39" s="1308"/>
      <c r="AS39" s="1287"/>
      <c r="AT39" s="1288"/>
      <c r="AU39" s="1284"/>
      <c r="AV39" s="1284"/>
      <c r="AW39" s="1284"/>
      <c r="AX39" s="1286"/>
      <c r="AY39" s="1274"/>
      <c r="AZ39" s="176"/>
      <c r="BA39" s="657"/>
      <c r="BB39" s="1275"/>
      <c r="BC39" s="176"/>
      <c r="BD39" s="657"/>
      <c r="BE39" s="1275"/>
      <c r="BF39" s="176"/>
      <c r="BG39" s="657"/>
      <c r="BH39" s="1275"/>
      <c r="BI39" s="176"/>
      <c r="BJ39" s="657"/>
      <c r="BK39" s="1275"/>
      <c r="BL39" s="176"/>
      <c r="BM39" s="657"/>
      <c r="BN39" s="1275"/>
      <c r="BO39" s="176"/>
      <c r="BP39" s="657"/>
      <c r="BQ39" s="1275"/>
      <c r="BR39" s="176"/>
      <c r="BS39" s="657"/>
      <c r="BT39" s="1275"/>
      <c r="BU39" s="176"/>
      <c r="BV39" s="657"/>
      <c r="BW39" s="1275"/>
      <c r="BX39" s="176"/>
      <c r="BY39" s="657"/>
      <c r="BZ39" s="1313"/>
      <c r="CA39" s="1307"/>
    </row>
    <row r="40" spans="1:79" ht="14.25" customHeight="1">
      <c r="A40" s="1272">
        <v>19</v>
      </c>
      <c r="B40" s="1273" t="s">
        <v>221</v>
      </c>
      <c r="C40" s="1274"/>
      <c r="D40" s="1275" t="s">
        <v>531</v>
      </c>
      <c r="E40" s="1275" t="s">
        <v>531</v>
      </c>
      <c r="F40" s="1275"/>
      <c r="G40" s="1310"/>
      <c r="H40" s="1311">
        <v>2</v>
      </c>
      <c r="I40" s="656"/>
      <c r="J40" s="657"/>
      <c r="K40" s="1293"/>
      <c r="L40" s="656"/>
      <c r="M40" s="657"/>
      <c r="N40" s="1293"/>
      <c r="O40" s="656"/>
      <c r="P40" s="657"/>
      <c r="Q40" s="1293"/>
      <c r="R40" s="656"/>
      <c r="S40" s="657"/>
      <c r="T40" s="1293"/>
      <c r="U40" s="656"/>
      <c r="V40" s="657"/>
      <c r="W40" s="1293"/>
      <c r="X40" s="656"/>
      <c r="Y40" s="657"/>
      <c r="Z40" s="1293"/>
      <c r="AA40" s="656"/>
      <c r="AB40" s="657"/>
      <c r="AC40" s="1293"/>
      <c r="AD40" s="656"/>
      <c r="AE40" s="657"/>
      <c r="AF40" s="1293"/>
      <c r="AG40" s="656"/>
      <c r="AH40" s="657"/>
      <c r="AI40" s="1299">
        <v>2</v>
      </c>
      <c r="AJ40" s="1307">
        <v>47</v>
      </c>
      <c r="AK40" s="1289">
        <v>0</v>
      </c>
      <c r="AL40" s="1298">
        <v>0</v>
      </c>
      <c r="AM40" s="1289">
        <v>0</v>
      </c>
      <c r="AN40" s="1289">
        <v>0</v>
      </c>
      <c r="AO40" s="1289">
        <v>0</v>
      </c>
      <c r="AP40" s="1289">
        <v>0</v>
      </c>
      <c r="AQ40" s="1294">
        <v>0</v>
      </c>
      <c r="AR40" s="1272">
        <v>19</v>
      </c>
      <c r="AS40" s="1273" t="s">
        <v>239</v>
      </c>
      <c r="AT40" s="1274"/>
      <c r="AU40" s="1275"/>
      <c r="AV40" s="1275"/>
      <c r="AW40" s="1275"/>
      <c r="AX40" s="1310"/>
      <c r="AY40" s="1311">
        <v>0</v>
      </c>
      <c r="AZ40" s="656"/>
      <c r="BA40" s="657"/>
      <c r="BB40" s="1293"/>
      <c r="BC40" s="656"/>
      <c r="BD40" s="657"/>
      <c r="BE40" s="1293"/>
      <c r="BF40" s="656"/>
      <c r="BG40" s="657"/>
      <c r="BH40" s="1293"/>
      <c r="BI40" s="656"/>
      <c r="BJ40" s="657"/>
      <c r="BK40" s="1293"/>
      <c r="BL40" s="656"/>
      <c r="BM40" s="657"/>
      <c r="BN40" s="1293"/>
      <c r="BO40" s="656"/>
      <c r="BP40" s="657"/>
      <c r="BQ40" s="1293"/>
      <c r="BR40" s="656"/>
      <c r="BS40" s="657"/>
      <c r="BT40" s="1293"/>
      <c r="BU40" s="656"/>
      <c r="BV40" s="657"/>
      <c r="BW40" s="1293"/>
      <c r="BX40" s="656"/>
      <c r="BY40" s="657"/>
      <c r="BZ40" s="1299">
        <v>0</v>
      </c>
      <c r="CA40" s="1307">
        <v>26</v>
      </c>
    </row>
    <row r="41" spans="1:79" ht="14.25" customHeight="1">
      <c r="A41" s="1272"/>
      <c r="B41" s="1273"/>
      <c r="C41" s="1274"/>
      <c r="D41" s="1275"/>
      <c r="E41" s="1275"/>
      <c r="F41" s="1275"/>
      <c r="G41" s="1310"/>
      <c r="H41" s="1311"/>
      <c r="I41" s="656"/>
      <c r="J41" s="657"/>
      <c r="K41" s="1293"/>
      <c r="L41" s="656"/>
      <c r="M41" s="657"/>
      <c r="N41" s="1293"/>
      <c r="O41" s="656"/>
      <c r="P41" s="657"/>
      <c r="Q41" s="1293"/>
      <c r="R41" s="656"/>
      <c r="S41" s="657"/>
      <c r="T41" s="1293"/>
      <c r="U41" s="656"/>
      <c r="V41" s="657"/>
      <c r="W41" s="1293"/>
      <c r="X41" s="656"/>
      <c r="Y41" s="657"/>
      <c r="Z41" s="1293"/>
      <c r="AA41" s="656"/>
      <c r="AB41" s="657"/>
      <c r="AC41" s="1293"/>
      <c r="AD41" s="656"/>
      <c r="AE41" s="657"/>
      <c r="AF41" s="1293"/>
      <c r="AG41" s="656"/>
      <c r="AH41" s="657"/>
      <c r="AI41" s="1299"/>
      <c r="AJ41" s="1307"/>
      <c r="AK41" s="1289"/>
      <c r="AL41" s="1298"/>
      <c r="AM41" s="1289"/>
      <c r="AN41" s="1289"/>
      <c r="AO41" s="1289"/>
      <c r="AP41" s="1289"/>
      <c r="AQ41" s="1294"/>
      <c r="AR41" s="1272"/>
      <c r="AS41" s="1273"/>
      <c r="AT41" s="1274"/>
      <c r="AU41" s="1275"/>
      <c r="AV41" s="1275"/>
      <c r="AW41" s="1275"/>
      <c r="AX41" s="1310"/>
      <c r="AY41" s="1311"/>
      <c r="AZ41" s="656"/>
      <c r="BA41" s="657"/>
      <c r="BB41" s="1293"/>
      <c r="BC41" s="656"/>
      <c r="BD41" s="657"/>
      <c r="BE41" s="1293"/>
      <c r="BF41" s="656"/>
      <c r="BG41" s="657"/>
      <c r="BH41" s="1293"/>
      <c r="BI41" s="656"/>
      <c r="BJ41" s="657"/>
      <c r="BK41" s="1293"/>
      <c r="BL41" s="656"/>
      <c r="BM41" s="657"/>
      <c r="BN41" s="1293"/>
      <c r="BO41" s="656"/>
      <c r="BP41" s="657"/>
      <c r="BQ41" s="1293"/>
      <c r="BR41" s="656"/>
      <c r="BS41" s="657"/>
      <c r="BT41" s="1293"/>
      <c r="BU41" s="656"/>
      <c r="BV41" s="657"/>
      <c r="BW41" s="1293"/>
      <c r="BX41" s="656"/>
      <c r="BY41" s="657"/>
      <c r="BZ41" s="1299"/>
      <c r="CA41" s="1307"/>
    </row>
    <row r="42" spans="1:79" ht="14.25" customHeight="1">
      <c r="A42" s="1308">
        <v>20</v>
      </c>
      <c r="B42" s="1287" t="s">
        <v>53</v>
      </c>
      <c r="C42" s="1288"/>
      <c r="D42" s="1284" t="s">
        <v>531</v>
      </c>
      <c r="E42" s="1284" t="s">
        <v>531</v>
      </c>
      <c r="F42" s="1284"/>
      <c r="G42" s="1285"/>
      <c r="H42" s="1274">
        <v>0</v>
      </c>
      <c r="I42" s="176"/>
      <c r="J42" s="657"/>
      <c r="K42" s="1275"/>
      <c r="L42" s="176"/>
      <c r="M42" s="657"/>
      <c r="N42" s="1275"/>
      <c r="O42" s="176"/>
      <c r="P42" s="657"/>
      <c r="Q42" s="1275"/>
      <c r="R42" s="176"/>
      <c r="S42" s="657"/>
      <c r="T42" s="1275"/>
      <c r="U42" s="176"/>
      <c r="V42" s="657"/>
      <c r="W42" s="1275"/>
      <c r="X42" s="176"/>
      <c r="Y42" s="657"/>
      <c r="Z42" s="1275"/>
      <c r="AA42" s="176"/>
      <c r="AB42" s="657"/>
      <c r="AC42" s="1275"/>
      <c r="AD42" s="176"/>
      <c r="AE42" s="657"/>
      <c r="AF42" s="1275"/>
      <c r="AG42" s="176"/>
      <c r="AH42" s="657"/>
      <c r="AI42" s="1312">
        <v>0</v>
      </c>
      <c r="AJ42" s="1307">
        <v>47</v>
      </c>
      <c r="AK42" s="1289">
        <v>0</v>
      </c>
      <c r="AL42" s="1298">
        <v>0</v>
      </c>
      <c r="AM42" s="1289">
        <v>0</v>
      </c>
      <c r="AN42" s="1289">
        <v>0</v>
      </c>
      <c r="AO42" s="1289">
        <v>0</v>
      </c>
      <c r="AP42" s="1289">
        <v>0</v>
      </c>
      <c r="AQ42" s="1294">
        <v>0</v>
      </c>
      <c r="AR42" s="1308">
        <v>20</v>
      </c>
      <c r="AS42" s="1287" t="s">
        <v>76</v>
      </c>
      <c r="AT42" s="1288" t="s">
        <v>531</v>
      </c>
      <c r="AU42" s="1284"/>
      <c r="AV42" s="1284"/>
      <c r="AW42" s="1284"/>
      <c r="AX42" s="1285"/>
      <c r="AY42" s="1274">
        <v>0</v>
      </c>
      <c r="AZ42" s="176"/>
      <c r="BA42" s="657"/>
      <c r="BB42" s="1275"/>
      <c r="BC42" s="176"/>
      <c r="BD42" s="657"/>
      <c r="BE42" s="1275"/>
      <c r="BF42" s="176"/>
      <c r="BG42" s="657"/>
      <c r="BH42" s="1275"/>
      <c r="BI42" s="176"/>
      <c r="BJ42" s="657"/>
      <c r="BK42" s="1275"/>
      <c r="BL42" s="176"/>
      <c r="BM42" s="657"/>
      <c r="BN42" s="1275"/>
      <c r="BO42" s="176"/>
      <c r="BP42" s="657"/>
      <c r="BQ42" s="1275"/>
      <c r="BR42" s="176"/>
      <c r="BS42" s="657"/>
      <c r="BT42" s="1275"/>
      <c r="BU42" s="176"/>
      <c r="BV42" s="657"/>
      <c r="BW42" s="1275"/>
      <c r="BX42" s="176"/>
      <c r="BY42" s="657"/>
      <c r="BZ42" s="1312">
        <v>0</v>
      </c>
      <c r="CA42" s="1307">
        <v>26</v>
      </c>
    </row>
    <row r="43" spans="1:79" ht="14.25" customHeight="1">
      <c r="A43" s="1308"/>
      <c r="B43" s="1287"/>
      <c r="C43" s="1288"/>
      <c r="D43" s="1284"/>
      <c r="E43" s="1284"/>
      <c r="F43" s="1284"/>
      <c r="G43" s="1286"/>
      <c r="H43" s="1274"/>
      <c r="I43" s="176"/>
      <c r="J43" s="657"/>
      <c r="K43" s="1275"/>
      <c r="L43" s="176"/>
      <c r="M43" s="657"/>
      <c r="N43" s="1275"/>
      <c r="O43" s="176"/>
      <c r="P43" s="657"/>
      <c r="Q43" s="1275"/>
      <c r="R43" s="176"/>
      <c r="S43" s="657"/>
      <c r="T43" s="1275"/>
      <c r="U43" s="176"/>
      <c r="V43" s="657"/>
      <c r="W43" s="1275"/>
      <c r="X43" s="176"/>
      <c r="Y43" s="657"/>
      <c r="Z43" s="1275"/>
      <c r="AA43" s="176"/>
      <c r="AB43" s="657"/>
      <c r="AC43" s="1275"/>
      <c r="AD43" s="176"/>
      <c r="AE43" s="657"/>
      <c r="AF43" s="1275"/>
      <c r="AG43" s="176"/>
      <c r="AH43" s="657"/>
      <c r="AI43" s="1313"/>
      <c r="AJ43" s="1307"/>
      <c r="AK43" s="1289"/>
      <c r="AL43" s="1298"/>
      <c r="AM43" s="1289"/>
      <c r="AN43" s="1289"/>
      <c r="AO43" s="1289"/>
      <c r="AP43" s="1289"/>
      <c r="AQ43" s="1294"/>
      <c r="AR43" s="1308"/>
      <c r="AS43" s="1287"/>
      <c r="AT43" s="1288"/>
      <c r="AU43" s="1284"/>
      <c r="AV43" s="1284"/>
      <c r="AW43" s="1284"/>
      <c r="AX43" s="1286"/>
      <c r="AY43" s="1274"/>
      <c r="AZ43" s="176"/>
      <c r="BA43" s="657"/>
      <c r="BB43" s="1275"/>
      <c r="BC43" s="176"/>
      <c r="BD43" s="657"/>
      <c r="BE43" s="1275"/>
      <c r="BF43" s="176"/>
      <c r="BG43" s="657"/>
      <c r="BH43" s="1275"/>
      <c r="BI43" s="176"/>
      <c r="BJ43" s="657"/>
      <c r="BK43" s="1275"/>
      <c r="BL43" s="176"/>
      <c r="BM43" s="657"/>
      <c r="BN43" s="1275"/>
      <c r="BO43" s="176"/>
      <c r="BP43" s="657"/>
      <c r="BQ43" s="1275"/>
      <c r="BR43" s="176"/>
      <c r="BS43" s="657"/>
      <c r="BT43" s="1275"/>
      <c r="BU43" s="176"/>
      <c r="BV43" s="657"/>
      <c r="BW43" s="1275"/>
      <c r="BX43" s="176"/>
      <c r="BY43" s="657"/>
      <c r="BZ43" s="1313"/>
      <c r="CA43" s="1307"/>
    </row>
    <row r="44" spans="1:79" ht="14.25" customHeight="1">
      <c r="A44" s="1272">
        <v>21</v>
      </c>
      <c r="B44" s="1273" t="s">
        <v>57</v>
      </c>
      <c r="C44" s="1274"/>
      <c r="D44" s="1275" t="s">
        <v>531</v>
      </c>
      <c r="E44" s="1275" t="s">
        <v>531</v>
      </c>
      <c r="F44" s="1275"/>
      <c r="G44" s="1310"/>
      <c r="H44" s="1311">
        <v>5</v>
      </c>
      <c r="I44" s="656" t="s">
        <v>527</v>
      </c>
      <c r="J44" s="657" t="s">
        <v>696</v>
      </c>
      <c r="K44" s="1293">
        <v>5</v>
      </c>
      <c r="L44" s="656" t="s">
        <v>527</v>
      </c>
      <c r="M44" s="657" t="s">
        <v>696</v>
      </c>
      <c r="N44" s="1293"/>
      <c r="O44" s="656"/>
      <c r="P44" s="657"/>
      <c r="Q44" s="1293"/>
      <c r="R44" s="656"/>
      <c r="S44" s="657"/>
      <c r="T44" s="1293"/>
      <c r="U44" s="656"/>
      <c r="V44" s="657"/>
      <c r="W44" s="1293"/>
      <c r="X44" s="656"/>
      <c r="Y44" s="657"/>
      <c r="Z44" s="1293"/>
      <c r="AA44" s="656"/>
      <c r="AB44" s="657"/>
      <c r="AC44" s="1293"/>
      <c r="AD44" s="656"/>
      <c r="AE44" s="657"/>
      <c r="AF44" s="1293"/>
      <c r="AG44" s="656"/>
      <c r="AH44" s="657"/>
      <c r="AI44" s="1299">
        <v>10</v>
      </c>
      <c r="AJ44" s="1307">
        <v>57</v>
      </c>
      <c r="AK44" s="1289">
        <v>0</v>
      </c>
      <c r="AL44" s="1298">
        <v>0</v>
      </c>
      <c r="AM44" s="1289">
        <v>0</v>
      </c>
      <c r="AN44" s="1289">
        <v>0</v>
      </c>
      <c r="AO44" s="1289">
        <v>0</v>
      </c>
      <c r="AP44" s="1289">
        <v>0</v>
      </c>
      <c r="AQ44" s="1294">
        <v>0</v>
      </c>
      <c r="AR44" s="1272">
        <v>21</v>
      </c>
      <c r="AS44" s="1273" t="s">
        <v>362</v>
      </c>
      <c r="AT44" s="1274" t="s">
        <v>531</v>
      </c>
      <c r="AU44" s="1275"/>
      <c r="AV44" s="1275"/>
      <c r="AW44" s="1275"/>
      <c r="AX44" s="1310"/>
      <c r="AY44" s="1311">
        <v>1</v>
      </c>
      <c r="AZ44" s="656"/>
      <c r="BA44" s="657"/>
      <c r="BB44" s="1293"/>
      <c r="BC44" s="656"/>
      <c r="BD44" s="657"/>
      <c r="BE44" s="1293"/>
      <c r="BF44" s="656"/>
      <c r="BG44" s="657"/>
      <c r="BH44" s="1293"/>
      <c r="BI44" s="656"/>
      <c r="BJ44" s="657"/>
      <c r="BK44" s="1293"/>
      <c r="BL44" s="656"/>
      <c r="BM44" s="657"/>
      <c r="BN44" s="1293"/>
      <c r="BO44" s="656"/>
      <c r="BP44" s="657"/>
      <c r="BQ44" s="1293"/>
      <c r="BR44" s="656"/>
      <c r="BS44" s="657"/>
      <c r="BT44" s="1293"/>
      <c r="BU44" s="656"/>
      <c r="BV44" s="657"/>
      <c r="BW44" s="1293"/>
      <c r="BX44" s="656"/>
      <c r="BY44" s="657"/>
      <c r="BZ44" s="1299">
        <v>1</v>
      </c>
      <c r="CA44" s="1307">
        <v>27</v>
      </c>
    </row>
    <row r="45" spans="1:79" ht="14.25" customHeight="1">
      <c r="A45" s="1272"/>
      <c r="B45" s="1273"/>
      <c r="C45" s="1274"/>
      <c r="D45" s="1275"/>
      <c r="E45" s="1275"/>
      <c r="F45" s="1275"/>
      <c r="G45" s="1310"/>
      <c r="H45" s="1311"/>
      <c r="I45" s="656"/>
      <c r="J45" s="657"/>
      <c r="K45" s="1293"/>
      <c r="L45" s="656"/>
      <c r="M45" s="657"/>
      <c r="N45" s="1293"/>
      <c r="O45" s="656"/>
      <c r="P45" s="657"/>
      <c r="Q45" s="1293"/>
      <c r="R45" s="656"/>
      <c r="S45" s="657"/>
      <c r="T45" s="1293"/>
      <c r="U45" s="656"/>
      <c r="V45" s="657"/>
      <c r="W45" s="1293"/>
      <c r="X45" s="656"/>
      <c r="Y45" s="657"/>
      <c r="Z45" s="1293"/>
      <c r="AA45" s="656"/>
      <c r="AB45" s="657"/>
      <c r="AC45" s="1293"/>
      <c r="AD45" s="656"/>
      <c r="AE45" s="657"/>
      <c r="AF45" s="1293"/>
      <c r="AG45" s="656"/>
      <c r="AH45" s="657"/>
      <c r="AI45" s="1299"/>
      <c r="AJ45" s="1307"/>
      <c r="AK45" s="1289"/>
      <c r="AL45" s="1298"/>
      <c r="AM45" s="1289"/>
      <c r="AN45" s="1289"/>
      <c r="AO45" s="1289"/>
      <c r="AP45" s="1289"/>
      <c r="AQ45" s="1294"/>
      <c r="AR45" s="1272"/>
      <c r="AS45" s="1273"/>
      <c r="AT45" s="1274"/>
      <c r="AU45" s="1275"/>
      <c r="AV45" s="1275"/>
      <c r="AW45" s="1275"/>
      <c r="AX45" s="1310"/>
      <c r="AY45" s="1311"/>
      <c r="AZ45" s="656"/>
      <c r="BA45" s="657"/>
      <c r="BB45" s="1293"/>
      <c r="BC45" s="656"/>
      <c r="BD45" s="657"/>
      <c r="BE45" s="1293"/>
      <c r="BF45" s="656"/>
      <c r="BG45" s="657"/>
      <c r="BH45" s="1293"/>
      <c r="BI45" s="656"/>
      <c r="BJ45" s="657"/>
      <c r="BK45" s="1293"/>
      <c r="BL45" s="656"/>
      <c r="BM45" s="657"/>
      <c r="BN45" s="1293"/>
      <c r="BO45" s="656"/>
      <c r="BP45" s="657"/>
      <c r="BQ45" s="1293"/>
      <c r="BR45" s="656"/>
      <c r="BS45" s="657"/>
      <c r="BT45" s="1293"/>
      <c r="BU45" s="656"/>
      <c r="BV45" s="657"/>
      <c r="BW45" s="1293"/>
      <c r="BX45" s="656"/>
      <c r="BY45" s="657"/>
      <c r="BZ45" s="1299"/>
      <c r="CA45" s="1307"/>
    </row>
    <row r="46" spans="1:79" ht="14.25" customHeight="1">
      <c r="A46" s="1308">
        <v>22</v>
      </c>
      <c r="B46" s="1287" t="s">
        <v>59</v>
      </c>
      <c r="C46" s="1288"/>
      <c r="D46" s="1284" t="s">
        <v>531</v>
      </c>
      <c r="E46" s="1284" t="s">
        <v>531</v>
      </c>
      <c r="F46" s="1284"/>
      <c r="G46" s="1285"/>
      <c r="H46" s="1274">
        <v>4</v>
      </c>
      <c r="I46" s="176"/>
      <c r="J46" s="657"/>
      <c r="K46" s="1275"/>
      <c r="L46" s="176"/>
      <c r="M46" s="657"/>
      <c r="N46" s="1275"/>
      <c r="O46" s="176"/>
      <c r="P46" s="657"/>
      <c r="Q46" s="1275"/>
      <c r="R46" s="176"/>
      <c r="S46" s="657"/>
      <c r="T46" s="1275"/>
      <c r="U46" s="176"/>
      <c r="V46" s="657"/>
      <c r="W46" s="1275"/>
      <c r="X46" s="176"/>
      <c r="Y46" s="657"/>
      <c r="Z46" s="1275"/>
      <c r="AA46" s="176"/>
      <c r="AB46" s="657"/>
      <c r="AC46" s="1275"/>
      <c r="AD46" s="176"/>
      <c r="AE46" s="657"/>
      <c r="AF46" s="1275"/>
      <c r="AG46" s="176"/>
      <c r="AH46" s="657"/>
      <c r="AI46" s="1312">
        <v>4</v>
      </c>
      <c r="AJ46" s="1307">
        <v>61</v>
      </c>
      <c r="AK46" s="1289">
        <v>0</v>
      </c>
      <c r="AL46" s="1298">
        <v>0</v>
      </c>
      <c r="AM46" s="1289">
        <v>0</v>
      </c>
      <c r="AN46" s="1289">
        <v>0</v>
      </c>
      <c r="AO46" s="1289">
        <v>0</v>
      </c>
      <c r="AP46" s="1289">
        <v>0</v>
      </c>
      <c r="AQ46" s="1294">
        <v>0</v>
      </c>
      <c r="AR46" s="1308">
        <v>22</v>
      </c>
      <c r="AS46" s="1287" t="s">
        <v>241</v>
      </c>
      <c r="AT46" s="1288"/>
      <c r="AU46" s="1284"/>
      <c r="AV46" s="1284"/>
      <c r="AW46" s="1284"/>
      <c r="AX46" s="1285"/>
      <c r="AY46" s="1274">
        <v>0</v>
      </c>
      <c r="AZ46" s="176"/>
      <c r="BA46" s="657"/>
      <c r="BB46" s="1275"/>
      <c r="BC46" s="176"/>
      <c r="BD46" s="657"/>
      <c r="BE46" s="1275"/>
      <c r="BF46" s="176"/>
      <c r="BG46" s="657"/>
      <c r="BH46" s="1275"/>
      <c r="BI46" s="176"/>
      <c r="BJ46" s="657"/>
      <c r="BK46" s="1275"/>
      <c r="BL46" s="176"/>
      <c r="BM46" s="657"/>
      <c r="BN46" s="1275"/>
      <c r="BO46" s="176"/>
      <c r="BP46" s="657"/>
      <c r="BQ46" s="1275"/>
      <c r="BR46" s="176"/>
      <c r="BS46" s="657"/>
      <c r="BT46" s="1275"/>
      <c r="BU46" s="176"/>
      <c r="BV46" s="657"/>
      <c r="BW46" s="1275"/>
      <c r="BX46" s="176"/>
      <c r="BY46" s="657"/>
      <c r="BZ46" s="1312">
        <v>0</v>
      </c>
      <c r="CA46" s="1307">
        <v>27</v>
      </c>
    </row>
    <row r="47" spans="1:79" ht="14.25" customHeight="1">
      <c r="A47" s="1308"/>
      <c r="B47" s="1287"/>
      <c r="C47" s="1288"/>
      <c r="D47" s="1284"/>
      <c r="E47" s="1284"/>
      <c r="F47" s="1284"/>
      <c r="G47" s="1286"/>
      <c r="H47" s="1274"/>
      <c r="I47" s="176"/>
      <c r="J47" s="657"/>
      <c r="K47" s="1275"/>
      <c r="L47" s="176"/>
      <c r="M47" s="657"/>
      <c r="N47" s="1275"/>
      <c r="O47" s="176"/>
      <c r="P47" s="657"/>
      <c r="Q47" s="1275"/>
      <c r="R47" s="176"/>
      <c r="S47" s="657"/>
      <c r="T47" s="1275"/>
      <c r="U47" s="176"/>
      <c r="V47" s="657"/>
      <c r="W47" s="1275"/>
      <c r="X47" s="176"/>
      <c r="Y47" s="657"/>
      <c r="Z47" s="1275"/>
      <c r="AA47" s="176"/>
      <c r="AB47" s="657"/>
      <c r="AC47" s="1275"/>
      <c r="AD47" s="176"/>
      <c r="AE47" s="657"/>
      <c r="AF47" s="1275"/>
      <c r="AG47" s="176"/>
      <c r="AH47" s="657"/>
      <c r="AI47" s="1313"/>
      <c r="AJ47" s="1307"/>
      <c r="AK47" s="1289"/>
      <c r="AL47" s="1298"/>
      <c r="AM47" s="1289"/>
      <c r="AN47" s="1289"/>
      <c r="AO47" s="1289"/>
      <c r="AP47" s="1289"/>
      <c r="AQ47" s="1294"/>
      <c r="AR47" s="1308"/>
      <c r="AS47" s="1287"/>
      <c r="AT47" s="1288"/>
      <c r="AU47" s="1284"/>
      <c r="AV47" s="1284"/>
      <c r="AW47" s="1284"/>
      <c r="AX47" s="1286"/>
      <c r="AY47" s="1274"/>
      <c r="AZ47" s="176"/>
      <c r="BA47" s="657"/>
      <c r="BB47" s="1275"/>
      <c r="BC47" s="176"/>
      <c r="BD47" s="657"/>
      <c r="BE47" s="1275"/>
      <c r="BF47" s="176"/>
      <c r="BG47" s="657"/>
      <c r="BH47" s="1275"/>
      <c r="BI47" s="176"/>
      <c r="BJ47" s="657"/>
      <c r="BK47" s="1275"/>
      <c r="BL47" s="176"/>
      <c r="BM47" s="657"/>
      <c r="BN47" s="1275"/>
      <c r="BO47" s="176"/>
      <c r="BP47" s="657"/>
      <c r="BQ47" s="1275"/>
      <c r="BR47" s="176"/>
      <c r="BS47" s="657"/>
      <c r="BT47" s="1275"/>
      <c r="BU47" s="176"/>
      <c r="BV47" s="657"/>
      <c r="BW47" s="1275"/>
      <c r="BX47" s="176"/>
      <c r="BY47" s="657"/>
      <c r="BZ47" s="1313"/>
      <c r="CA47" s="1307"/>
    </row>
    <row r="48" spans="1:79" ht="14.25" customHeight="1">
      <c r="A48" s="1272">
        <v>23</v>
      </c>
      <c r="B48" s="1273" t="s">
        <v>223</v>
      </c>
      <c r="C48" s="1274"/>
      <c r="D48" s="1275" t="s">
        <v>531</v>
      </c>
      <c r="E48" s="1275" t="s">
        <v>531</v>
      </c>
      <c r="F48" s="1275"/>
      <c r="G48" s="1310"/>
      <c r="H48" s="1311">
        <v>4</v>
      </c>
      <c r="I48" s="656" t="s">
        <v>527</v>
      </c>
      <c r="J48" s="657"/>
      <c r="K48" s="1293"/>
      <c r="L48" s="656"/>
      <c r="M48" s="657"/>
      <c r="N48" s="1293"/>
      <c r="O48" s="656"/>
      <c r="P48" s="657"/>
      <c r="Q48" s="1293"/>
      <c r="R48" s="656"/>
      <c r="S48" s="657"/>
      <c r="T48" s="1293"/>
      <c r="U48" s="656"/>
      <c r="V48" s="657"/>
      <c r="W48" s="1293"/>
      <c r="X48" s="656"/>
      <c r="Y48" s="657"/>
      <c r="Z48" s="1293"/>
      <c r="AA48" s="656"/>
      <c r="AB48" s="657"/>
      <c r="AC48" s="1293"/>
      <c r="AD48" s="656"/>
      <c r="AE48" s="657"/>
      <c r="AF48" s="1293"/>
      <c r="AG48" s="656"/>
      <c r="AH48" s="657"/>
      <c r="AI48" s="1299">
        <v>4</v>
      </c>
      <c r="AJ48" s="1307">
        <v>65</v>
      </c>
      <c r="AK48" s="1289">
        <v>0</v>
      </c>
      <c r="AL48" s="1298">
        <v>0</v>
      </c>
      <c r="AM48" s="1289">
        <v>0</v>
      </c>
      <c r="AN48" s="1289">
        <v>0</v>
      </c>
      <c r="AO48" s="1289">
        <v>0</v>
      </c>
      <c r="AP48" s="1289">
        <v>0</v>
      </c>
      <c r="AQ48" s="1294">
        <v>0</v>
      </c>
      <c r="AR48" s="1272">
        <v>23</v>
      </c>
      <c r="AS48" s="1273" t="s">
        <v>76</v>
      </c>
      <c r="AT48" s="1274"/>
      <c r="AU48" s="1275"/>
      <c r="AV48" s="1275"/>
      <c r="AW48" s="1275"/>
      <c r="AX48" s="1310"/>
      <c r="AY48" s="1311">
        <v>0</v>
      </c>
      <c r="AZ48" s="656"/>
      <c r="BA48" s="657"/>
      <c r="BB48" s="1293"/>
      <c r="BC48" s="656"/>
      <c r="BD48" s="657"/>
      <c r="BE48" s="1293"/>
      <c r="BF48" s="656"/>
      <c r="BG48" s="657"/>
      <c r="BH48" s="1293"/>
      <c r="BI48" s="656"/>
      <c r="BJ48" s="657"/>
      <c r="BK48" s="1293"/>
      <c r="BL48" s="656"/>
      <c r="BM48" s="657"/>
      <c r="BN48" s="1293"/>
      <c r="BO48" s="656"/>
      <c r="BP48" s="657"/>
      <c r="BQ48" s="1293"/>
      <c r="BR48" s="656"/>
      <c r="BS48" s="657"/>
      <c r="BT48" s="1293"/>
      <c r="BU48" s="656"/>
      <c r="BV48" s="657"/>
      <c r="BW48" s="1293"/>
      <c r="BX48" s="656"/>
      <c r="BY48" s="657"/>
      <c r="BZ48" s="1299">
        <v>0</v>
      </c>
      <c r="CA48" s="1307">
        <v>27</v>
      </c>
    </row>
    <row r="49" spans="1:79" ht="14.25" customHeight="1">
      <c r="A49" s="1272"/>
      <c r="B49" s="1273"/>
      <c r="C49" s="1274"/>
      <c r="D49" s="1275"/>
      <c r="E49" s="1275"/>
      <c r="F49" s="1275"/>
      <c r="G49" s="1310"/>
      <c r="H49" s="1311"/>
      <c r="I49" s="656"/>
      <c r="J49" s="657"/>
      <c r="K49" s="1293"/>
      <c r="L49" s="656"/>
      <c r="M49" s="657"/>
      <c r="N49" s="1293"/>
      <c r="O49" s="656"/>
      <c r="P49" s="657"/>
      <c r="Q49" s="1293"/>
      <c r="R49" s="656"/>
      <c r="S49" s="657"/>
      <c r="T49" s="1293"/>
      <c r="U49" s="656"/>
      <c r="V49" s="657"/>
      <c r="W49" s="1293"/>
      <c r="X49" s="656"/>
      <c r="Y49" s="657"/>
      <c r="Z49" s="1293"/>
      <c r="AA49" s="656"/>
      <c r="AB49" s="657"/>
      <c r="AC49" s="1293"/>
      <c r="AD49" s="656"/>
      <c r="AE49" s="657"/>
      <c r="AF49" s="1293"/>
      <c r="AG49" s="656"/>
      <c r="AH49" s="657"/>
      <c r="AI49" s="1299"/>
      <c r="AJ49" s="1307"/>
      <c r="AK49" s="1289"/>
      <c r="AL49" s="1298"/>
      <c r="AM49" s="1289"/>
      <c r="AN49" s="1289"/>
      <c r="AO49" s="1289"/>
      <c r="AP49" s="1289"/>
      <c r="AQ49" s="1294"/>
      <c r="AR49" s="1272"/>
      <c r="AS49" s="1273"/>
      <c r="AT49" s="1274"/>
      <c r="AU49" s="1275"/>
      <c r="AV49" s="1275"/>
      <c r="AW49" s="1275"/>
      <c r="AX49" s="1310"/>
      <c r="AY49" s="1311"/>
      <c r="AZ49" s="656"/>
      <c r="BA49" s="657"/>
      <c r="BB49" s="1293"/>
      <c r="BC49" s="656"/>
      <c r="BD49" s="657"/>
      <c r="BE49" s="1293"/>
      <c r="BF49" s="656"/>
      <c r="BG49" s="657"/>
      <c r="BH49" s="1293"/>
      <c r="BI49" s="656"/>
      <c r="BJ49" s="657"/>
      <c r="BK49" s="1293"/>
      <c r="BL49" s="656"/>
      <c r="BM49" s="657"/>
      <c r="BN49" s="1293"/>
      <c r="BO49" s="656"/>
      <c r="BP49" s="657"/>
      <c r="BQ49" s="1293"/>
      <c r="BR49" s="656"/>
      <c r="BS49" s="657"/>
      <c r="BT49" s="1293"/>
      <c r="BU49" s="656"/>
      <c r="BV49" s="657"/>
      <c r="BW49" s="1293"/>
      <c r="BX49" s="656"/>
      <c r="BY49" s="657"/>
      <c r="BZ49" s="1299"/>
      <c r="CA49" s="1307"/>
    </row>
    <row r="50" spans="1:79" ht="14.25" customHeight="1">
      <c r="A50" s="1308">
        <v>24</v>
      </c>
      <c r="B50" s="1287" t="s">
        <v>53</v>
      </c>
      <c r="C50" s="1288" t="s">
        <v>531</v>
      </c>
      <c r="D50" s="1284" t="s">
        <v>531</v>
      </c>
      <c r="E50" s="1284"/>
      <c r="F50" s="1284"/>
      <c r="G50" s="1285"/>
      <c r="H50" s="1274">
        <v>5</v>
      </c>
      <c r="I50" s="176" t="s">
        <v>461</v>
      </c>
      <c r="J50" s="657"/>
      <c r="K50" s="1275">
        <v>5</v>
      </c>
      <c r="L50" s="176" t="s">
        <v>527</v>
      </c>
      <c r="M50" s="657" t="s">
        <v>461</v>
      </c>
      <c r="N50" s="1275"/>
      <c r="O50" s="176"/>
      <c r="P50" s="657"/>
      <c r="Q50" s="1275"/>
      <c r="R50" s="176"/>
      <c r="S50" s="657"/>
      <c r="T50" s="1275"/>
      <c r="U50" s="176"/>
      <c r="V50" s="657"/>
      <c r="W50" s="1275"/>
      <c r="X50" s="176"/>
      <c r="Y50" s="657"/>
      <c r="Z50" s="1275"/>
      <c r="AA50" s="176"/>
      <c r="AB50" s="657"/>
      <c r="AC50" s="1275"/>
      <c r="AD50" s="176"/>
      <c r="AE50" s="657"/>
      <c r="AF50" s="1275"/>
      <c r="AG50" s="176"/>
      <c r="AH50" s="657"/>
      <c r="AI50" s="1312">
        <v>10</v>
      </c>
      <c r="AJ50" s="1307">
        <v>75</v>
      </c>
      <c r="AK50" s="1289">
        <v>0</v>
      </c>
      <c r="AL50" s="1298">
        <v>0</v>
      </c>
      <c r="AM50" s="1289">
        <v>0</v>
      </c>
      <c r="AN50" s="1289">
        <v>0</v>
      </c>
      <c r="AO50" s="1289">
        <v>0</v>
      </c>
      <c r="AP50" s="1289">
        <v>0</v>
      </c>
      <c r="AQ50" s="1294">
        <v>0</v>
      </c>
      <c r="AR50" s="1308">
        <v>24</v>
      </c>
      <c r="AS50" s="1287" t="s">
        <v>237</v>
      </c>
      <c r="AT50" s="1288" t="s">
        <v>531</v>
      </c>
      <c r="AU50" s="1284"/>
      <c r="AV50" s="1284"/>
      <c r="AW50" s="1284"/>
      <c r="AX50" s="1285"/>
      <c r="AY50" s="1274">
        <v>4</v>
      </c>
      <c r="AZ50" s="176" t="s">
        <v>527</v>
      </c>
      <c r="BA50" s="657"/>
      <c r="BB50" s="1275"/>
      <c r="BC50" s="176"/>
      <c r="BD50" s="657"/>
      <c r="BE50" s="1275"/>
      <c r="BF50" s="176"/>
      <c r="BG50" s="657"/>
      <c r="BH50" s="1275"/>
      <c r="BI50" s="176"/>
      <c r="BJ50" s="657"/>
      <c r="BK50" s="1275"/>
      <c r="BL50" s="176"/>
      <c r="BM50" s="657"/>
      <c r="BN50" s="1275"/>
      <c r="BO50" s="176"/>
      <c r="BP50" s="657"/>
      <c r="BQ50" s="1275"/>
      <c r="BR50" s="176"/>
      <c r="BS50" s="657"/>
      <c r="BT50" s="1275"/>
      <c r="BU50" s="176"/>
      <c r="BV50" s="657"/>
      <c r="BW50" s="1275"/>
      <c r="BX50" s="176"/>
      <c r="BY50" s="657"/>
      <c r="BZ50" s="1312">
        <v>4</v>
      </c>
      <c r="CA50" s="1307">
        <v>31</v>
      </c>
    </row>
    <row r="51" spans="1:79" ht="14.25" customHeight="1">
      <c r="A51" s="1308"/>
      <c r="B51" s="1287"/>
      <c r="C51" s="1288"/>
      <c r="D51" s="1284"/>
      <c r="E51" s="1284"/>
      <c r="F51" s="1284"/>
      <c r="G51" s="1286"/>
      <c r="H51" s="1274"/>
      <c r="I51" s="176"/>
      <c r="J51" s="657"/>
      <c r="K51" s="1275"/>
      <c r="L51" s="176"/>
      <c r="M51" s="657"/>
      <c r="N51" s="1275"/>
      <c r="O51" s="176"/>
      <c r="P51" s="657"/>
      <c r="Q51" s="1275"/>
      <c r="R51" s="176"/>
      <c r="S51" s="657"/>
      <c r="T51" s="1275"/>
      <c r="U51" s="176"/>
      <c r="V51" s="657"/>
      <c r="W51" s="1275"/>
      <c r="X51" s="176"/>
      <c r="Y51" s="657"/>
      <c r="Z51" s="1275"/>
      <c r="AA51" s="176"/>
      <c r="AB51" s="657"/>
      <c r="AC51" s="1275"/>
      <c r="AD51" s="176"/>
      <c r="AE51" s="657"/>
      <c r="AF51" s="1275"/>
      <c r="AG51" s="176"/>
      <c r="AH51" s="657"/>
      <c r="AI51" s="1313"/>
      <c r="AJ51" s="1307"/>
      <c r="AK51" s="1289"/>
      <c r="AL51" s="1298"/>
      <c r="AM51" s="1289"/>
      <c r="AN51" s="1289"/>
      <c r="AO51" s="1289"/>
      <c r="AP51" s="1289"/>
      <c r="AQ51" s="1294"/>
      <c r="AR51" s="1308"/>
      <c r="AS51" s="1287"/>
      <c r="AT51" s="1288"/>
      <c r="AU51" s="1284"/>
      <c r="AV51" s="1284"/>
      <c r="AW51" s="1284"/>
      <c r="AX51" s="1286"/>
      <c r="AY51" s="1274"/>
      <c r="AZ51" s="176"/>
      <c r="BA51" s="657"/>
      <c r="BB51" s="1275"/>
      <c r="BC51" s="176"/>
      <c r="BD51" s="657"/>
      <c r="BE51" s="1275"/>
      <c r="BF51" s="176"/>
      <c r="BG51" s="657"/>
      <c r="BH51" s="1275"/>
      <c r="BI51" s="176"/>
      <c r="BJ51" s="657"/>
      <c r="BK51" s="1275"/>
      <c r="BL51" s="176"/>
      <c r="BM51" s="657"/>
      <c r="BN51" s="1275"/>
      <c r="BO51" s="176"/>
      <c r="BP51" s="657"/>
      <c r="BQ51" s="1275"/>
      <c r="BR51" s="176"/>
      <c r="BS51" s="657"/>
      <c r="BT51" s="1275"/>
      <c r="BU51" s="176"/>
      <c r="BV51" s="657"/>
      <c r="BW51" s="1275"/>
      <c r="BX51" s="176"/>
      <c r="BY51" s="657"/>
      <c r="BZ51" s="1313"/>
      <c r="CA51" s="1307"/>
    </row>
    <row r="52" spans="1:79" ht="14.25" customHeight="1">
      <c r="A52" s="1272"/>
      <c r="B52" s="1273"/>
      <c r="C52" s="1274"/>
      <c r="D52" s="1275"/>
      <c r="E52" s="1275"/>
      <c r="F52" s="1275"/>
      <c r="G52" s="1310"/>
      <c r="H52" s="1311"/>
      <c r="I52" s="656"/>
      <c r="J52" s="657"/>
      <c r="K52" s="1293"/>
      <c r="L52" s="656"/>
      <c r="M52" s="657"/>
      <c r="N52" s="1293"/>
      <c r="O52" s="656"/>
      <c r="P52" s="657"/>
      <c r="Q52" s="1293"/>
      <c r="R52" s="656"/>
      <c r="S52" s="657"/>
      <c r="T52" s="1293"/>
      <c r="U52" s="656"/>
      <c r="V52" s="657"/>
      <c r="W52" s="1293"/>
      <c r="X52" s="656"/>
      <c r="Y52" s="657"/>
      <c r="Z52" s="1293"/>
      <c r="AA52" s="656"/>
      <c r="AB52" s="657"/>
      <c r="AC52" s="1293"/>
      <c r="AD52" s="656"/>
      <c r="AE52" s="657"/>
      <c r="AF52" s="1293"/>
      <c r="AG52" s="656"/>
      <c r="AH52" s="657"/>
      <c r="AI52" s="1299" t="s">
        <v>446</v>
      </c>
      <c r="AJ52" s="1307" t="s">
        <v>446</v>
      </c>
      <c r="AK52" s="1289">
        <v>0</v>
      </c>
      <c r="AL52" s="1298">
        <v>0</v>
      </c>
      <c r="AM52" s="1289">
        <v>0</v>
      </c>
      <c r="AN52" s="1289">
        <v>0</v>
      </c>
      <c r="AO52" s="1289">
        <v>0</v>
      </c>
      <c r="AP52" s="1289">
        <v>0</v>
      </c>
      <c r="AQ52" s="1294">
        <v>0</v>
      </c>
      <c r="AR52" s="1272"/>
      <c r="AS52" s="1273"/>
      <c r="AT52" s="1274"/>
      <c r="AU52" s="1275"/>
      <c r="AV52" s="1275"/>
      <c r="AW52" s="1275"/>
      <c r="AX52" s="1310"/>
      <c r="AY52" s="1311"/>
      <c r="AZ52" s="656"/>
      <c r="BA52" s="657"/>
      <c r="BB52" s="1293"/>
      <c r="BC52" s="656"/>
      <c r="BD52" s="657"/>
      <c r="BE52" s="1293"/>
      <c r="BF52" s="656"/>
      <c r="BG52" s="657"/>
      <c r="BH52" s="1293"/>
      <c r="BI52" s="656"/>
      <c r="BJ52" s="657"/>
      <c r="BK52" s="1293"/>
      <c r="BL52" s="656"/>
      <c r="BM52" s="657"/>
      <c r="BN52" s="1293"/>
      <c r="BO52" s="656"/>
      <c r="BP52" s="657"/>
      <c r="BQ52" s="1293"/>
      <c r="BR52" s="656"/>
      <c r="BS52" s="657"/>
      <c r="BT52" s="1293"/>
      <c r="BU52" s="656"/>
      <c r="BV52" s="657"/>
      <c r="BW52" s="1293"/>
      <c r="BX52" s="656"/>
      <c r="BY52" s="657"/>
      <c r="BZ52" s="1299" t="s">
        <v>446</v>
      </c>
      <c r="CA52" s="1307" t="s">
        <v>446</v>
      </c>
    </row>
    <row r="53" spans="1:79" ht="14.25" customHeight="1">
      <c r="A53" s="1272"/>
      <c r="B53" s="1273"/>
      <c r="C53" s="1274"/>
      <c r="D53" s="1275"/>
      <c r="E53" s="1275"/>
      <c r="F53" s="1275"/>
      <c r="G53" s="1310"/>
      <c r="H53" s="1311"/>
      <c r="I53" s="656"/>
      <c r="J53" s="657"/>
      <c r="K53" s="1293"/>
      <c r="L53" s="656"/>
      <c r="M53" s="657"/>
      <c r="N53" s="1293"/>
      <c r="O53" s="656"/>
      <c r="P53" s="657"/>
      <c r="Q53" s="1293"/>
      <c r="R53" s="656"/>
      <c r="S53" s="657"/>
      <c r="T53" s="1293"/>
      <c r="U53" s="656"/>
      <c r="V53" s="657"/>
      <c r="W53" s="1293"/>
      <c r="X53" s="656"/>
      <c r="Y53" s="657"/>
      <c r="Z53" s="1293"/>
      <c r="AA53" s="656"/>
      <c r="AB53" s="657"/>
      <c r="AC53" s="1293"/>
      <c r="AD53" s="656"/>
      <c r="AE53" s="657"/>
      <c r="AF53" s="1293"/>
      <c r="AG53" s="656"/>
      <c r="AH53" s="657"/>
      <c r="AI53" s="1299"/>
      <c r="AJ53" s="1307"/>
      <c r="AK53" s="1289"/>
      <c r="AL53" s="1298"/>
      <c r="AM53" s="1289"/>
      <c r="AN53" s="1289"/>
      <c r="AO53" s="1289"/>
      <c r="AP53" s="1289"/>
      <c r="AQ53" s="1294"/>
      <c r="AR53" s="1272"/>
      <c r="AS53" s="1273"/>
      <c r="AT53" s="1274"/>
      <c r="AU53" s="1275"/>
      <c r="AV53" s="1275"/>
      <c r="AW53" s="1275"/>
      <c r="AX53" s="1310"/>
      <c r="AY53" s="1311"/>
      <c r="AZ53" s="656"/>
      <c r="BA53" s="657"/>
      <c r="BB53" s="1293"/>
      <c r="BC53" s="656"/>
      <c r="BD53" s="657"/>
      <c r="BE53" s="1293"/>
      <c r="BF53" s="656"/>
      <c r="BG53" s="657"/>
      <c r="BH53" s="1293"/>
      <c r="BI53" s="656"/>
      <c r="BJ53" s="657"/>
      <c r="BK53" s="1293"/>
      <c r="BL53" s="656"/>
      <c r="BM53" s="657"/>
      <c r="BN53" s="1293"/>
      <c r="BO53" s="656"/>
      <c r="BP53" s="657"/>
      <c r="BQ53" s="1293"/>
      <c r="BR53" s="656"/>
      <c r="BS53" s="657"/>
      <c r="BT53" s="1293"/>
      <c r="BU53" s="656"/>
      <c r="BV53" s="657"/>
      <c r="BW53" s="1293"/>
      <c r="BX53" s="656"/>
      <c r="BY53" s="657"/>
      <c r="BZ53" s="1299"/>
      <c r="CA53" s="1307"/>
    </row>
    <row r="54" spans="1:79" ht="14.25" customHeight="1">
      <c r="A54" s="1308"/>
      <c r="B54" s="1287"/>
      <c r="C54" s="1288"/>
      <c r="D54" s="1284"/>
      <c r="E54" s="1284"/>
      <c r="F54" s="1284"/>
      <c r="G54" s="1285"/>
      <c r="H54" s="1274"/>
      <c r="I54" s="176"/>
      <c r="J54" s="657"/>
      <c r="K54" s="1275"/>
      <c r="L54" s="176"/>
      <c r="M54" s="657"/>
      <c r="N54" s="1275"/>
      <c r="O54" s="176"/>
      <c r="P54" s="657"/>
      <c r="Q54" s="1275"/>
      <c r="R54" s="176"/>
      <c r="S54" s="657"/>
      <c r="T54" s="1275"/>
      <c r="U54" s="176"/>
      <c r="V54" s="657"/>
      <c r="W54" s="1275"/>
      <c r="X54" s="176"/>
      <c r="Y54" s="657"/>
      <c r="Z54" s="1275"/>
      <c r="AA54" s="176"/>
      <c r="AB54" s="657"/>
      <c r="AC54" s="1275"/>
      <c r="AD54" s="176"/>
      <c r="AE54" s="657"/>
      <c r="AF54" s="1275"/>
      <c r="AG54" s="176"/>
      <c r="AH54" s="657"/>
      <c r="AI54" s="1312" t="s">
        <v>446</v>
      </c>
      <c r="AJ54" s="1307" t="s">
        <v>446</v>
      </c>
      <c r="AK54" s="1289">
        <v>0</v>
      </c>
      <c r="AL54" s="1298">
        <v>0</v>
      </c>
      <c r="AM54" s="1289">
        <v>0</v>
      </c>
      <c r="AN54" s="1289">
        <v>0</v>
      </c>
      <c r="AO54" s="1289">
        <v>0</v>
      </c>
      <c r="AP54" s="1289">
        <v>0</v>
      </c>
      <c r="AQ54" s="1294">
        <v>0</v>
      </c>
      <c r="AR54" s="1308"/>
      <c r="AS54" s="1287"/>
      <c r="AT54" s="1288"/>
      <c r="AU54" s="1284"/>
      <c r="AV54" s="1284"/>
      <c r="AW54" s="1284"/>
      <c r="AX54" s="1285"/>
      <c r="AY54" s="1274"/>
      <c r="AZ54" s="176"/>
      <c r="BA54" s="657"/>
      <c r="BB54" s="1275"/>
      <c r="BC54" s="176"/>
      <c r="BD54" s="657"/>
      <c r="BE54" s="1275"/>
      <c r="BF54" s="176"/>
      <c r="BG54" s="657"/>
      <c r="BH54" s="1275"/>
      <c r="BI54" s="176"/>
      <c r="BJ54" s="657"/>
      <c r="BK54" s="1275"/>
      <c r="BL54" s="176"/>
      <c r="BM54" s="657"/>
      <c r="BN54" s="1275"/>
      <c r="BO54" s="176"/>
      <c r="BP54" s="657"/>
      <c r="BQ54" s="1275"/>
      <c r="BR54" s="176"/>
      <c r="BS54" s="657"/>
      <c r="BT54" s="1275"/>
      <c r="BU54" s="176"/>
      <c r="BV54" s="657"/>
      <c r="BW54" s="1275"/>
      <c r="BX54" s="176"/>
      <c r="BY54" s="657"/>
      <c r="BZ54" s="1312" t="s">
        <v>446</v>
      </c>
      <c r="CA54" s="1307" t="s">
        <v>446</v>
      </c>
    </row>
    <row r="55" spans="1:79" ht="14.25" customHeight="1">
      <c r="A55" s="1308"/>
      <c r="B55" s="1287"/>
      <c r="C55" s="1288"/>
      <c r="D55" s="1284"/>
      <c r="E55" s="1284"/>
      <c r="F55" s="1284"/>
      <c r="G55" s="1286"/>
      <c r="H55" s="1274"/>
      <c r="I55" s="176"/>
      <c r="J55" s="657"/>
      <c r="K55" s="1275"/>
      <c r="L55" s="176"/>
      <c r="M55" s="657"/>
      <c r="N55" s="1275"/>
      <c r="O55" s="176"/>
      <c r="P55" s="657"/>
      <c r="Q55" s="1275"/>
      <c r="R55" s="176"/>
      <c r="S55" s="657"/>
      <c r="T55" s="1275"/>
      <c r="U55" s="176"/>
      <c r="V55" s="657"/>
      <c r="W55" s="1275"/>
      <c r="X55" s="176"/>
      <c r="Y55" s="657"/>
      <c r="Z55" s="1275"/>
      <c r="AA55" s="176"/>
      <c r="AB55" s="657"/>
      <c r="AC55" s="1275"/>
      <c r="AD55" s="176"/>
      <c r="AE55" s="657"/>
      <c r="AF55" s="1275"/>
      <c r="AG55" s="176"/>
      <c r="AH55" s="657"/>
      <c r="AI55" s="1313"/>
      <c r="AJ55" s="1307"/>
      <c r="AK55" s="1289"/>
      <c r="AL55" s="1298"/>
      <c r="AM55" s="1289"/>
      <c r="AN55" s="1289"/>
      <c r="AO55" s="1289"/>
      <c r="AP55" s="1289"/>
      <c r="AQ55" s="1294"/>
      <c r="AR55" s="1308"/>
      <c r="AS55" s="1287"/>
      <c r="AT55" s="1288"/>
      <c r="AU55" s="1284"/>
      <c r="AV55" s="1284"/>
      <c r="AW55" s="1284"/>
      <c r="AX55" s="1286"/>
      <c r="AY55" s="1274"/>
      <c r="AZ55" s="176"/>
      <c r="BA55" s="657"/>
      <c r="BB55" s="1275"/>
      <c r="BC55" s="176"/>
      <c r="BD55" s="657"/>
      <c r="BE55" s="1275"/>
      <c r="BF55" s="176"/>
      <c r="BG55" s="657"/>
      <c r="BH55" s="1275"/>
      <c r="BI55" s="176"/>
      <c r="BJ55" s="657"/>
      <c r="BK55" s="1275"/>
      <c r="BL55" s="176"/>
      <c r="BM55" s="657"/>
      <c r="BN55" s="1275"/>
      <c r="BO55" s="176"/>
      <c r="BP55" s="657"/>
      <c r="BQ55" s="1275"/>
      <c r="BR55" s="176"/>
      <c r="BS55" s="657"/>
      <c r="BT55" s="1275"/>
      <c r="BU55" s="176"/>
      <c r="BV55" s="657"/>
      <c r="BW55" s="1275"/>
      <c r="BX55" s="176"/>
      <c r="BY55" s="657"/>
      <c r="BZ55" s="1313"/>
      <c r="CA55" s="1307"/>
    </row>
    <row r="56" spans="1:79" ht="14.25" customHeight="1">
      <c r="A56" s="1272"/>
      <c r="B56" s="1273"/>
      <c r="C56" s="1274"/>
      <c r="D56" s="1275"/>
      <c r="E56" s="1275"/>
      <c r="F56" s="1275"/>
      <c r="G56" s="1310"/>
      <c r="H56" s="1311"/>
      <c r="I56" s="656"/>
      <c r="J56" s="657"/>
      <c r="K56" s="1293"/>
      <c r="L56" s="656"/>
      <c r="M56" s="657"/>
      <c r="N56" s="1293"/>
      <c r="O56" s="656"/>
      <c r="P56" s="657"/>
      <c r="Q56" s="1293"/>
      <c r="R56" s="656"/>
      <c r="S56" s="657"/>
      <c r="T56" s="1293"/>
      <c r="U56" s="656"/>
      <c r="V56" s="657"/>
      <c r="W56" s="1293"/>
      <c r="X56" s="656"/>
      <c r="Y56" s="657"/>
      <c r="Z56" s="1293"/>
      <c r="AA56" s="656"/>
      <c r="AB56" s="657"/>
      <c r="AC56" s="1293"/>
      <c r="AD56" s="656"/>
      <c r="AE56" s="657"/>
      <c r="AF56" s="1293"/>
      <c r="AG56" s="656"/>
      <c r="AH56" s="657"/>
      <c r="AI56" s="1299" t="s">
        <v>446</v>
      </c>
      <c r="AJ56" s="1307" t="s">
        <v>446</v>
      </c>
      <c r="AK56" s="1289">
        <v>0</v>
      </c>
      <c r="AL56" s="1298">
        <v>0</v>
      </c>
      <c r="AM56" s="1289">
        <v>0</v>
      </c>
      <c r="AN56" s="1289">
        <v>0</v>
      </c>
      <c r="AO56" s="1289">
        <v>0</v>
      </c>
      <c r="AP56" s="1289">
        <v>0</v>
      </c>
      <c r="AQ56" s="1294">
        <v>0</v>
      </c>
      <c r="AR56" s="1272"/>
      <c r="AS56" s="1273"/>
      <c r="AT56" s="1274"/>
      <c r="AU56" s="1275"/>
      <c r="AV56" s="1275"/>
      <c r="AW56" s="1275"/>
      <c r="AX56" s="1310"/>
      <c r="AY56" s="1311"/>
      <c r="AZ56" s="656"/>
      <c r="BA56" s="657"/>
      <c r="BB56" s="1293"/>
      <c r="BC56" s="656"/>
      <c r="BD56" s="657"/>
      <c r="BE56" s="1293"/>
      <c r="BF56" s="656"/>
      <c r="BG56" s="657"/>
      <c r="BH56" s="1293"/>
      <c r="BI56" s="656"/>
      <c r="BJ56" s="657"/>
      <c r="BK56" s="1293"/>
      <c r="BL56" s="656"/>
      <c r="BM56" s="657"/>
      <c r="BN56" s="1293"/>
      <c r="BO56" s="656"/>
      <c r="BP56" s="657"/>
      <c r="BQ56" s="1293"/>
      <c r="BR56" s="656"/>
      <c r="BS56" s="657"/>
      <c r="BT56" s="1293"/>
      <c r="BU56" s="656"/>
      <c r="BV56" s="657"/>
      <c r="BW56" s="1293"/>
      <c r="BX56" s="656"/>
      <c r="BY56" s="657"/>
      <c r="BZ56" s="1299" t="s">
        <v>446</v>
      </c>
      <c r="CA56" s="1307" t="s">
        <v>446</v>
      </c>
    </row>
    <row r="57" spans="1:79" ht="14.25" customHeight="1">
      <c r="A57" s="1272"/>
      <c r="B57" s="1273"/>
      <c r="C57" s="1274"/>
      <c r="D57" s="1275"/>
      <c r="E57" s="1275"/>
      <c r="F57" s="1275"/>
      <c r="G57" s="1310"/>
      <c r="H57" s="1311"/>
      <c r="I57" s="656"/>
      <c r="J57" s="657"/>
      <c r="K57" s="1293"/>
      <c r="L57" s="656"/>
      <c r="M57" s="657"/>
      <c r="N57" s="1293"/>
      <c r="O57" s="656"/>
      <c r="P57" s="657"/>
      <c r="Q57" s="1293"/>
      <c r="R57" s="656"/>
      <c r="S57" s="657"/>
      <c r="T57" s="1293"/>
      <c r="U57" s="656"/>
      <c r="V57" s="657"/>
      <c r="W57" s="1293"/>
      <c r="X57" s="656"/>
      <c r="Y57" s="657"/>
      <c r="Z57" s="1293"/>
      <c r="AA57" s="656"/>
      <c r="AB57" s="657"/>
      <c r="AC57" s="1293"/>
      <c r="AD57" s="656"/>
      <c r="AE57" s="657"/>
      <c r="AF57" s="1293"/>
      <c r="AG57" s="656"/>
      <c r="AH57" s="657"/>
      <c r="AI57" s="1299"/>
      <c r="AJ57" s="1307"/>
      <c r="AK57" s="1289"/>
      <c r="AL57" s="1298"/>
      <c r="AM57" s="1289"/>
      <c r="AN57" s="1289"/>
      <c r="AO57" s="1289"/>
      <c r="AP57" s="1289"/>
      <c r="AQ57" s="1294"/>
      <c r="AR57" s="1272"/>
      <c r="AS57" s="1273"/>
      <c r="AT57" s="1274"/>
      <c r="AU57" s="1275"/>
      <c r="AV57" s="1275"/>
      <c r="AW57" s="1275"/>
      <c r="AX57" s="1310"/>
      <c r="AY57" s="1311"/>
      <c r="AZ57" s="656"/>
      <c r="BA57" s="657"/>
      <c r="BB57" s="1293"/>
      <c r="BC57" s="656"/>
      <c r="BD57" s="657"/>
      <c r="BE57" s="1293"/>
      <c r="BF57" s="656"/>
      <c r="BG57" s="657"/>
      <c r="BH57" s="1293"/>
      <c r="BI57" s="656"/>
      <c r="BJ57" s="657"/>
      <c r="BK57" s="1293"/>
      <c r="BL57" s="656"/>
      <c r="BM57" s="657"/>
      <c r="BN57" s="1293"/>
      <c r="BO57" s="656"/>
      <c r="BP57" s="657"/>
      <c r="BQ57" s="1293"/>
      <c r="BR57" s="656"/>
      <c r="BS57" s="657"/>
      <c r="BT57" s="1293"/>
      <c r="BU57" s="656"/>
      <c r="BV57" s="657"/>
      <c r="BW57" s="1293"/>
      <c r="BX57" s="656"/>
      <c r="BY57" s="657"/>
      <c r="BZ57" s="1299"/>
      <c r="CA57" s="1307"/>
    </row>
    <row r="58" spans="1:79" ht="14.25" customHeight="1">
      <c r="A58" s="1308"/>
      <c r="B58" s="1287"/>
      <c r="C58" s="1288"/>
      <c r="D58" s="1284"/>
      <c r="E58" s="1284"/>
      <c r="F58" s="1284"/>
      <c r="G58" s="1285"/>
      <c r="H58" s="1274"/>
      <c r="I58" s="176"/>
      <c r="J58" s="657"/>
      <c r="K58" s="1275"/>
      <c r="L58" s="176"/>
      <c r="M58" s="657"/>
      <c r="N58" s="1275"/>
      <c r="O58" s="176"/>
      <c r="P58" s="657"/>
      <c r="Q58" s="1275"/>
      <c r="R58" s="176"/>
      <c r="S58" s="657"/>
      <c r="T58" s="1275"/>
      <c r="U58" s="176"/>
      <c r="V58" s="657"/>
      <c r="W58" s="1275"/>
      <c r="X58" s="176"/>
      <c r="Y58" s="657"/>
      <c r="Z58" s="1275"/>
      <c r="AA58" s="176"/>
      <c r="AB58" s="657"/>
      <c r="AC58" s="1275"/>
      <c r="AD58" s="176"/>
      <c r="AE58" s="657"/>
      <c r="AF58" s="1275"/>
      <c r="AG58" s="176"/>
      <c r="AH58" s="657"/>
      <c r="AI58" s="1312" t="s">
        <v>446</v>
      </c>
      <c r="AJ58" s="1307" t="s">
        <v>446</v>
      </c>
      <c r="AK58" s="1289">
        <v>0</v>
      </c>
      <c r="AL58" s="1298">
        <v>0</v>
      </c>
      <c r="AM58" s="1289">
        <v>0</v>
      </c>
      <c r="AN58" s="1289">
        <v>0</v>
      </c>
      <c r="AO58" s="1289">
        <v>0</v>
      </c>
      <c r="AP58" s="1289">
        <v>0</v>
      </c>
      <c r="AQ58" s="1294">
        <v>0</v>
      </c>
      <c r="AR58" s="1308"/>
      <c r="AS58" s="1287"/>
      <c r="AT58" s="1288"/>
      <c r="AU58" s="1284"/>
      <c r="AV58" s="1284"/>
      <c r="AW58" s="1284"/>
      <c r="AX58" s="1285"/>
      <c r="AY58" s="1274"/>
      <c r="AZ58" s="176"/>
      <c r="BA58" s="657"/>
      <c r="BB58" s="1275"/>
      <c r="BC58" s="176"/>
      <c r="BD58" s="657"/>
      <c r="BE58" s="1275"/>
      <c r="BF58" s="176"/>
      <c r="BG58" s="657"/>
      <c r="BH58" s="1275"/>
      <c r="BI58" s="176"/>
      <c r="BJ58" s="657"/>
      <c r="BK58" s="1275"/>
      <c r="BL58" s="176"/>
      <c r="BM58" s="657"/>
      <c r="BN58" s="1275"/>
      <c r="BO58" s="176"/>
      <c r="BP58" s="657"/>
      <c r="BQ58" s="1275"/>
      <c r="BR58" s="176"/>
      <c r="BS58" s="657"/>
      <c r="BT58" s="1275"/>
      <c r="BU58" s="176"/>
      <c r="BV58" s="657"/>
      <c r="BW58" s="1275"/>
      <c r="BX58" s="176"/>
      <c r="BY58" s="657"/>
      <c r="BZ58" s="1312" t="s">
        <v>446</v>
      </c>
      <c r="CA58" s="1307" t="s">
        <v>446</v>
      </c>
    </row>
    <row r="59" spans="1:79" ht="14.25" customHeight="1">
      <c r="A59" s="1308"/>
      <c r="B59" s="1287"/>
      <c r="C59" s="1288"/>
      <c r="D59" s="1284"/>
      <c r="E59" s="1284"/>
      <c r="F59" s="1284"/>
      <c r="G59" s="1286"/>
      <c r="H59" s="1274"/>
      <c r="I59" s="176"/>
      <c r="J59" s="657"/>
      <c r="K59" s="1275"/>
      <c r="L59" s="176"/>
      <c r="M59" s="657"/>
      <c r="N59" s="1275"/>
      <c r="O59" s="176"/>
      <c r="P59" s="657"/>
      <c r="Q59" s="1275"/>
      <c r="R59" s="176"/>
      <c r="S59" s="657"/>
      <c r="T59" s="1275"/>
      <c r="U59" s="176"/>
      <c r="V59" s="657"/>
      <c r="W59" s="1275"/>
      <c r="X59" s="176"/>
      <c r="Y59" s="657"/>
      <c r="Z59" s="1275"/>
      <c r="AA59" s="176"/>
      <c r="AB59" s="657"/>
      <c r="AC59" s="1275"/>
      <c r="AD59" s="176"/>
      <c r="AE59" s="657"/>
      <c r="AF59" s="1275"/>
      <c r="AG59" s="176"/>
      <c r="AH59" s="657"/>
      <c r="AI59" s="1313"/>
      <c r="AJ59" s="1307"/>
      <c r="AK59" s="1289"/>
      <c r="AL59" s="1298"/>
      <c r="AM59" s="1289"/>
      <c r="AN59" s="1289"/>
      <c r="AO59" s="1289"/>
      <c r="AP59" s="1289"/>
      <c r="AQ59" s="1294"/>
      <c r="AR59" s="1308"/>
      <c r="AS59" s="1287"/>
      <c r="AT59" s="1288"/>
      <c r="AU59" s="1284"/>
      <c r="AV59" s="1284"/>
      <c r="AW59" s="1284"/>
      <c r="AX59" s="1286"/>
      <c r="AY59" s="1274"/>
      <c r="AZ59" s="176"/>
      <c r="BA59" s="657"/>
      <c r="BB59" s="1275"/>
      <c r="BC59" s="176"/>
      <c r="BD59" s="657"/>
      <c r="BE59" s="1275"/>
      <c r="BF59" s="176"/>
      <c r="BG59" s="657"/>
      <c r="BH59" s="1275"/>
      <c r="BI59" s="176"/>
      <c r="BJ59" s="657"/>
      <c r="BK59" s="1275"/>
      <c r="BL59" s="176"/>
      <c r="BM59" s="657"/>
      <c r="BN59" s="1275"/>
      <c r="BO59" s="176"/>
      <c r="BP59" s="657"/>
      <c r="BQ59" s="1275"/>
      <c r="BR59" s="176"/>
      <c r="BS59" s="657"/>
      <c r="BT59" s="1275"/>
      <c r="BU59" s="176"/>
      <c r="BV59" s="657"/>
      <c r="BW59" s="1275"/>
      <c r="BX59" s="176"/>
      <c r="BY59" s="657"/>
      <c r="BZ59" s="1313"/>
      <c r="CA59" s="1307"/>
    </row>
    <row r="60" spans="1:79" ht="14.25" customHeight="1">
      <c r="A60" s="1272"/>
      <c r="B60" s="1273"/>
      <c r="C60" s="1274"/>
      <c r="D60" s="1275"/>
      <c r="E60" s="1275"/>
      <c r="F60" s="1275"/>
      <c r="G60" s="1310"/>
      <c r="H60" s="1311"/>
      <c r="I60" s="656"/>
      <c r="J60" s="657"/>
      <c r="K60" s="1293"/>
      <c r="L60" s="656"/>
      <c r="M60" s="657"/>
      <c r="N60" s="1293"/>
      <c r="O60" s="656"/>
      <c r="P60" s="657"/>
      <c r="Q60" s="1293"/>
      <c r="R60" s="656"/>
      <c r="S60" s="657"/>
      <c r="T60" s="1293"/>
      <c r="U60" s="656"/>
      <c r="V60" s="657"/>
      <c r="W60" s="1293"/>
      <c r="X60" s="656"/>
      <c r="Y60" s="657"/>
      <c r="Z60" s="1293"/>
      <c r="AA60" s="656"/>
      <c r="AB60" s="657"/>
      <c r="AC60" s="1293"/>
      <c r="AD60" s="656"/>
      <c r="AE60" s="657"/>
      <c r="AF60" s="1293"/>
      <c r="AG60" s="656"/>
      <c r="AH60" s="657"/>
      <c r="AI60" s="1299" t="s">
        <v>446</v>
      </c>
      <c r="AJ60" s="1307" t="s">
        <v>446</v>
      </c>
      <c r="AK60" s="1289">
        <v>0</v>
      </c>
      <c r="AL60" s="1298">
        <v>0</v>
      </c>
      <c r="AM60" s="1289">
        <v>0</v>
      </c>
      <c r="AN60" s="1289">
        <v>0</v>
      </c>
      <c r="AO60" s="1289">
        <v>0</v>
      </c>
      <c r="AP60" s="1289">
        <v>0</v>
      </c>
      <c r="AQ60" s="1294">
        <v>0</v>
      </c>
      <c r="AR60" s="1272"/>
      <c r="AS60" s="1273"/>
      <c r="AT60" s="1274"/>
      <c r="AU60" s="1275"/>
      <c r="AV60" s="1275"/>
      <c r="AW60" s="1275"/>
      <c r="AX60" s="1310"/>
      <c r="AY60" s="1311"/>
      <c r="AZ60" s="656"/>
      <c r="BA60" s="657"/>
      <c r="BB60" s="1293"/>
      <c r="BC60" s="656"/>
      <c r="BD60" s="657"/>
      <c r="BE60" s="1293"/>
      <c r="BF60" s="656"/>
      <c r="BG60" s="657"/>
      <c r="BH60" s="1293"/>
      <c r="BI60" s="656"/>
      <c r="BJ60" s="657"/>
      <c r="BK60" s="1293"/>
      <c r="BL60" s="656"/>
      <c r="BM60" s="657"/>
      <c r="BN60" s="1293"/>
      <c r="BO60" s="656"/>
      <c r="BP60" s="657"/>
      <c r="BQ60" s="1293"/>
      <c r="BR60" s="656"/>
      <c r="BS60" s="657"/>
      <c r="BT60" s="1293"/>
      <c r="BU60" s="656"/>
      <c r="BV60" s="657"/>
      <c r="BW60" s="1293"/>
      <c r="BX60" s="656"/>
      <c r="BY60" s="657"/>
      <c r="BZ60" s="1299" t="s">
        <v>446</v>
      </c>
      <c r="CA60" s="1307" t="s">
        <v>446</v>
      </c>
    </row>
    <row r="61" spans="1:79" ht="14.25" customHeight="1">
      <c r="A61" s="1272"/>
      <c r="B61" s="1273"/>
      <c r="C61" s="1274"/>
      <c r="D61" s="1275"/>
      <c r="E61" s="1275"/>
      <c r="F61" s="1275"/>
      <c r="G61" s="1310"/>
      <c r="H61" s="1311"/>
      <c r="I61" s="656"/>
      <c r="J61" s="657"/>
      <c r="K61" s="1293"/>
      <c r="L61" s="656"/>
      <c r="M61" s="657"/>
      <c r="N61" s="1293"/>
      <c r="O61" s="656"/>
      <c r="P61" s="657"/>
      <c r="Q61" s="1293"/>
      <c r="R61" s="656"/>
      <c r="S61" s="657"/>
      <c r="T61" s="1293"/>
      <c r="U61" s="656"/>
      <c r="V61" s="657"/>
      <c r="W61" s="1293"/>
      <c r="X61" s="656"/>
      <c r="Y61" s="657"/>
      <c r="Z61" s="1293"/>
      <c r="AA61" s="656"/>
      <c r="AB61" s="657"/>
      <c r="AC61" s="1293"/>
      <c r="AD61" s="656"/>
      <c r="AE61" s="657"/>
      <c r="AF61" s="1293"/>
      <c r="AG61" s="656"/>
      <c r="AH61" s="657"/>
      <c r="AI61" s="1299"/>
      <c r="AJ61" s="1307"/>
      <c r="AK61" s="1289"/>
      <c r="AL61" s="1298"/>
      <c r="AM61" s="1289"/>
      <c r="AN61" s="1289"/>
      <c r="AO61" s="1289"/>
      <c r="AP61" s="1289"/>
      <c r="AQ61" s="1294"/>
      <c r="AR61" s="1272"/>
      <c r="AS61" s="1273"/>
      <c r="AT61" s="1274"/>
      <c r="AU61" s="1275"/>
      <c r="AV61" s="1275"/>
      <c r="AW61" s="1275"/>
      <c r="AX61" s="1310"/>
      <c r="AY61" s="1311"/>
      <c r="AZ61" s="656"/>
      <c r="BA61" s="657"/>
      <c r="BB61" s="1293"/>
      <c r="BC61" s="656"/>
      <c r="BD61" s="657"/>
      <c r="BE61" s="1293"/>
      <c r="BF61" s="656"/>
      <c r="BG61" s="657"/>
      <c r="BH61" s="1293"/>
      <c r="BI61" s="656"/>
      <c r="BJ61" s="657"/>
      <c r="BK61" s="1293"/>
      <c r="BL61" s="656"/>
      <c r="BM61" s="657"/>
      <c r="BN61" s="1293"/>
      <c r="BO61" s="656"/>
      <c r="BP61" s="657"/>
      <c r="BQ61" s="1293"/>
      <c r="BR61" s="656"/>
      <c r="BS61" s="657"/>
      <c r="BT61" s="1293"/>
      <c r="BU61" s="656"/>
      <c r="BV61" s="657"/>
      <c r="BW61" s="1293"/>
      <c r="BX61" s="656"/>
      <c r="BY61" s="657"/>
      <c r="BZ61" s="1299"/>
      <c r="CA61" s="1307"/>
    </row>
    <row r="62" spans="1:79" ht="14.25" customHeight="1">
      <c r="A62" s="1308"/>
      <c r="B62" s="1287"/>
      <c r="C62" s="1288"/>
      <c r="D62" s="1284"/>
      <c r="E62" s="1284"/>
      <c r="F62" s="1284"/>
      <c r="G62" s="1285"/>
      <c r="H62" s="1274"/>
      <c r="I62" s="176"/>
      <c r="J62" s="657"/>
      <c r="K62" s="1275"/>
      <c r="L62" s="176"/>
      <c r="M62" s="657"/>
      <c r="N62" s="1275"/>
      <c r="O62" s="176"/>
      <c r="P62" s="657"/>
      <c r="Q62" s="1275"/>
      <c r="R62" s="176"/>
      <c r="S62" s="657"/>
      <c r="T62" s="1275"/>
      <c r="U62" s="176"/>
      <c r="V62" s="657"/>
      <c r="W62" s="1275"/>
      <c r="X62" s="176"/>
      <c r="Y62" s="657"/>
      <c r="Z62" s="1275"/>
      <c r="AA62" s="176"/>
      <c r="AB62" s="657"/>
      <c r="AC62" s="1275"/>
      <c r="AD62" s="176"/>
      <c r="AE62" s="657"/>
      <c r="AF62" s="1275"/>
      <c r="AG62" s="176"/>
      <c r="AH62" s="657"/>
      <c r="AI62" s="1312" t="s">
        <v>446</v>
      </c>
      <c r="AJ62" s="1307" t="s">
        <v>446</v>
      </c>
      <c r="AK62" s="1289">
        <v>0</v>
      </c>
      <c r="AL62" s="1298">
        <v>0</v>
      </c>
      <c r="AM62" s="1289">
        <v>0</v>
      </c>
      <c r="AN62" s="1289">
        <v>0</v>
      </c>
      <c r="AO62" s="1289">
        <v>0</v>
      </c>
      <c r="AP62" s="1289">
        <v>0</v>
      </c>
      <c r="AQ62" s="1294">
        <v>0</v>
      </c>
      <c r="AR62" s="1308"/>
      <c r="AS62" s="1287"/>
      <c r="AT62" s="1288"/>
      <c r="AU62" s="1284"/>
      <c r="AV62" s="1284"/>
      <c r="AW62" s="1284"/>
      <c r="AX62" s="1285"/>
      <c r="AY62" s="1274"/>
      <c r="AZ62" s="176"/>
      <c r="BA62" s="657"/>
      <c r="BB62" s="1275"/>
      <c r="BC62" s="176"/>
      <c r="BD62" s="657"/>
      <c r="BE62" s="1275"/>
      <c r="BF62" s="176"/>
      <c r="BG62" s="657"/>
      <c r="BH62" s="1275"/>
      <c r="BI62" s="176"/>
      <c r="BJ62" s="657"/>
      <c r="BK62" s="1275"/>
      <c r="BL62" s="176"/>
      <c r="BM62" s="657"/>
      <c r="BN62" s="1275"/>
      <c r="BO62" s="176"/>
      <c r="BP62" s="657"/>
      <c r="BQ62" s="1275"/>
      <c r="BR62" s="176"/>
      <c r="BS62" s="657"/>
      <c r="BT62" s="1275"/>
      <c r="BU62" s="176"/>
      <c r="BV62" s="657"/>
      <c r="BW62" s="1275"/>
      <c r="BX62" s="176"/>
      <c r="BY62" s="657"/>
      <c r="BZ62" s="1312" t="s">
        <v>446</v>
      </c>
      <c r="CA62" s="1307" t="s">
        <v>446</v>
      </c>
    </row>
    <row r="63" spans="1:79" ht="14.25" customHeight="1" thickBot="1">
      <c r="A63" s="1308"/>
      <c r="B63" s="1287"/>
      <c r="C63" s="1288"/>
      <c r="D63" s="1284"/>
      <c r="E63" s="1284"/>
      <c r="F63" s="1284"/>
      <c r="G63" s="1286"/>
      <c r="H63" s="1274"/>
      <c r="I63" s="176"/>
      <c r="J63" s="657"/>
      <c r="K63" s="1275"/>
      <c r="L63" s="176"/>
      <c r="M63" s="657"/>
      <c r="N63" s="1275"/>
      <c r="O63" s="176"/>
      <c r="P63" s="657"/>
      <c r="Q63" s="1275"/>
      <c r="R63" s="176"/>
      <c r="S63" s="657"/>
      <c r="T63" s="1275"/>
      <c r="U63" s="176"/>
      <c r="V63" s="657"/>
      <c r="W63" s="1275"/>
      <c r="X63" s="176"/>
      <c r="Y63" s="657"/>
      <c r="Z63" s="1275"/>
      <c r="AA63" s="176"/>
      <c r="AB63" s="657"/>
      <c r="AC63" s="1275"/>
      <c r="AD63" s="176"/>
      <c r="AE63" s="657"/>
      <c r="AF63" s="1275"/>
      <c r="AG63" s="176"/>
      <c r="AH63" s="657"/>
      <c r="AI63" s="1313"/>
      <c r="AJ63" s="1307"/>
      <c r="AK63" s="1289"/>
      <c r="AL63" s="1298"/>
      <c r="AM63" s="1289"/>
      <c r="AN63" s="1289"/>
      <c r="AO63" s="1289"/>
      <c r="AP63" s="1289"/>
      <c r="AQ63" s="1294"/>
      <c r="AR63" s="1308"/>
      <c r="AS63" s="1287"/>
      <c r="AT63" s="1288"/>
      <c r="AU63" s="1284"/>
      <c r="AV63" s="1284"/>
      <c r="AW63" s="1284"/>
      <c r="AX63" s="1286"/>
      <c r="AY63" s="1274"/>
      <c r="AZ63" s="176"/>
      <c r="BA63" s="657"/>
      <c r="BB63" s="1275"/>
      <c r="BC63" s="176"/>
      <c r="BD63" s="657"/>
      <c r="BE63" s="1275"/>
      <c r="BF63" s="176"/>
      <c r="BG63" s="657"/>
      <c r="BH63" s="1275"/>
      <c r="BI63" s="176"/>
      <c r="BJ63" s="657"/>
      <c r="BK63" s="1275"/>
      <c r="BL63" s="176"/>
      <c r="BM63" s="657"/>
      <c r="BN63" s="1275"/>
      <c r="BO63" s="176"/>
      <c r="BP63" s="657"/>
      <c r="BQ63" s="1275"/>
      <c r="BR63" s="176"/>
      <c r="BS63" s="657"/>
      <c r="BT63" s="1275"/>
      <c r="BU63" s="176"/>
      <c r="BV63" s="657"/>
      <c r="BW63" s="1275"/>
      <c r="BX63" s="176"/>
      <c r="BY63" s="657"/>
      <c r="BZ63" s="1313"/>
      <c r="CA63" s="1307"/>
    </row>
    <row r="64" spans="1:79" ht="14.25" customHeight="1" thickBot="1">
      <c r="A64" s="1314" t="s">
        <v>446</v>
      </c>
      <c r="B64" s="1316" t="s">
        <v>523</v>
      </c>
      <c r="C64" s="1318">
        <v>2</v>
      </c>
      <c r="D64" s="1319">
        <v>15</v>
      </c>
      <c r="E64" s="1319">
        <v>14</v>
      </c>
      <c r="F64" s="1319" t="s">
        <v>446</v>
      </c>
      <c r="G64" s="1319" t="s">
        <v>446</v>
      </c>
      <c r="H64" s="1314">
        <v>55</v>
      </c>
      <c r="I64" s="658"/>
      <c r="J64" s="658"/>
      <c r="K64" s="1321">
        <v>19</v>
      </c>
      <c r="L64" s="658"/>
      <c r="M64" s="658"/>
      <c r="N64" s="1321">
        <v>1</v>
      </c>
      <c r="O64" s="658"/>
      <c r="P64" s="658"/>
      <c r="Q64" s="1321" t="s">
        <v>446</v>
      </c>
      <c r="R64" s="658"/>
      <c r="S64" s="658"/>
      <c r="T64" s="1321" t="s">
        <v>446</v>
      </c>
      <c r="U64" s="658"/>
      <c r="V64" s="658"/>
      <c r="W64" s="1321" t="s">
        <v>446</v>
      </c>
      <c r="X64" s="658"/>
      <c r="Y64" s="660"/>
      <c r="Z64" s="1321" t="s">
        <v>446</v>
      </c>
      <c r="AA64" s="658"/>
      <c r="AB64" s="658"/>
      <c r="AC64" s="1321" t="s">
        <v>446</v>
      </c>
      <c r="AD64" s="658"/>
      <c r="AE64" s="660"/>
      <c r="AF64" s="1321" t="s">
        <v>446</v>
      </c>
      <c r="AG64" s="658"/>
      <c r="AH64" s="658"/>
      <c r="AI64" s="1322">
        <v>75</v>
      </c>
      <c r="AJ64" s="1322">
        <v>75</v>
      </c>
      <c r="AK64" s="1320"/>
      <c r="AL64" s="1320"/>
      <c r="AM64" s="1320"/>
      <c r="AN64" s="1320"/>
      <c r="AO64" s="1320"/>
      <c r="AP64" s="1324"/>
      <c r="AQ64" s="1320"/>
      <c r="AR64" s="1314" t="s">
        <v>446</v>
      </c>
      <c r="AS64" s="1316" t="s">
        <v>523</v>
      </c>
      <c r="AT64" s="1318">
        <v>4</v>
      </c>
      <c r="AU64" s="1319">
        <v>8</v>
      </c>
      <c r="AV64" s="1319">
        <v>8</v>
      </c>
      <c r="AW64" s="1319" t="s">
        <v>446</v>
      </c>
      <c r="AX64" s="1319" t="s">
        <v>446</v>
      </c>
      <c r="AY64" s="1314">
        <v>26</v>
      </c>
      <c r="AZ64" s="658"/>
      <c r="BA64" s="658"/>
      <c r="BB64" s="1321">
        <v>5</v>
      </c>
      <c r="BC64" s="658"/>
      <c r="BD64" s="658"/>
      <c r="BE64" s="1321" t="s">
        <v>446</v>
      </c>
      <c r="BF64" s="658"/>
      <c r="BG64" s="658"/>
      <c r="BH64" s="1321" t="s">
        <v>446</v>
      </c>
      <c r="BI64" s="658"/>
      <c r="BJ64" s="658"/>
      <c r="BK64" s="1321" t="s">
        <v>446</v>
      </c>
      <c r="BL64" s="658"/>
      <c r="BM64" s="658"/>
      <c r="BN64" s="1321" t="s">
        <v>446</v>
      </c>
      <c r="BO64" s="658"/>
      <c r="BP64" s="660"/>
      <c r="BQ64" s="1321" t="s">
        <v>446</v>
      </c>
      <c r="BR64" s="658"/>
      <c r="BS64" s="658"/>
      <c r="BT64" s="1321" t="s">
        <v>446</v>
      </c>
      <c r="BU64" s="658"/>
      <c r="BV64" s="660"/>
      <c r="BW64" s="1321" t="s">
        <v>446</v>
      </c>
      <c r="BX64" s="658"/>
      <c r="BY64" s="658"/>
      <c r="BZ64" s="1322">
        <v>31</v>
      </c>
      <c r="CA64" s="1322">
        <v>31</v>
      </c>
    </row>
    <row r="65" spans="1:79" ht="14.25" customHeight="1" thickBot="1">
      <c r="A65" s="1315"/>
      <c r="B65" s="1317"/>
      <c r="C65" s="1318"/>
      <c r="D65" s="1319"/>
      <c r="E65" s="1319"/>
      <c r="F65" s="1319"/>
      <c r="G65" s="1319"/>
      <c r="H65" s="1314"/>
      <c r="I65" s="659"/>
      <c r="J65" s="659"/>
      <c r="K65" s="1321"/>
      <c r="L65" s="659"/>
      <c r="M65" s="659"/>
      <c r="N65" s="1321"/>
      <c r="O65" s="659"/>
      <c r="P65" s="659"/>
      <c r="Q65" s="1321"/>
      <c r="R65" s="659"/>
      <c r="S65" s="659"/>
      <c r="T65" s="1321"/>
      <c r="U65" s="659"/>
      <c r="V65" s="659"/>
      <c r="W65" s="1321"/>
      <c r="X65" s="659"/>
      <c r="Y65" s="661"/>
      <c r="Z65" s="1321"/>
      <c r="AA65" s="659"/>
      <c r="AB65" s="659"/>
      <c r="AC65" s="1321"/>
      <c r="AD65" s="659"/>
      <c r="AE65" s="661"/>
      <c r="AF65" s="1321"/>
      <c r="AG65" s="659"/>
      <c r="AH65" s="659"/>
      <c r="AI65" s="1323"/>
      <c r="AJ65" s="1323"/>
      <c r="AK65" s="1320"/>
      <c r="AL65" s="1320"/>
      <c r="AM65" s="1320"/>
      <c r="AN65" s="1320"/>
      <c r="AO65" s="1320"/>
      <c r="AP65" s="1324"/>
      <c r="AQ65" s="1320"/>
      <c r="AR65" s="1315"/>
      <c r="AS65" s="1317"/>
      <c r="AT65" s="1318"/>
      <c r="AU65" s="1319"/>
      <c r="AV65" s="1319"/>
      <c r="AW65" s="1319"/>
      <c r="AX65" s="1319"/>
      <c r="AY65" s="1314"/>
      <c r="AZ65" s="659"/>
      <c r="BA65" s="659"/>
      <c r="BB65" s="1321"/>
      <c r="BC65" s="659"/>
      <c r="BD65" s="659"/>
      <c r="BE65" s="1321"/>
      <c r="BF65" s="659"/>
      <c r="BG65" s="659"/>
      <c r="BH65" s="1321"/>
      <c r="BI65" s="659"/>
      <c r="BJ65" s="659"/>
      <c r="BK65" s="1321"/>
      <c r="BL65" s="659"/>
      <c r="BM65" s="659"/>
      <c r="BN65" s="1321"/>
      <c r="BO65" s="659"/>
      <c r="BP65" s="661"/>
      <c r="BQ65" s="1321"/>
      <c r="BR65" s="659"/>
      <c r="BS65" s="659"/>
      <c r="BT65" s="1321"/>
      <c r="BU65" s="659"/>
      <c r="BV65" s="661"/>
      <c r="BW65" s="1321"/>
      <c r="BX65" s="659"/>
      <c r="BY65" s="659"/>
      <c r="BZ65" s="1323"/>
      <c r="CA65" s="1323"/>
    </row>
    <row r="66" spans="1:79" ht="14.25" customHeight="1">
      <c r="A66" s="1328" t="s">
        <v>380</v>
      </c>
      <c r="B66" s="1328"/>
      <c r="C66" s="1328"/>
      <c r="D66" s="1328"/>
      <c r="E66" s="1328"/>
      <c r="F66" s="1328"/>
      <c r="G66" s="1328"/>
      <c r="H66" s="1328"/>
      <c r="I66" s="1328"/>
      <c r="J66" s="1328"/>
      <c r="K66" s="1328"/>
      <c r="L66" s="1328"/>
      <c r="M66" s="1328"/>
      <c r="N66" s="1328"/>
      <c r="O66" s="1328"/>
      <c r="P66" s="1328"/>
      <c r="Q66" s="1328"/>
      <c r="R66" s="1328"/>
      <c r="S66" s="1328"/>
      <c r="T66" s="1328"/>
      <c r="U66" s="1328"/>
      <c r="V66" s="1328"/>
      <c r="W66" s="1328"/>
      <c r="X66" s="1328"/>
      <c r="Y66" s="1328"/>
      <c r="Z66" s="1328"/>
      <c r="AA66" s="1328"/>
      <c r="AB66" s="1328"/>
      <c r="AC66" s="1328"/>
      <c r="AD66" s="1328"/>
      <c r="AE66" s="1328"/>
      <c r="AF66" s="1328"/>
      <c r="AG66" s="1328"/>
      <c r="AH66" s="1328"/>
      <c r="AI66" s="1328"/>
      <c r="AJ66" s="1328"/>
      <c r="AK66" s="651"/>
      <c r="AL66" s="651"/>
      <c r="AM66" s="651"/>
      <c r="AN66" s="651"/>
      <c r="AO66" s="651"/>
      <c r="AP66" s="651"/>
      <c r="AQ66" s="651"/>
      <c r="AR66" s="1328" t="s">
        <v>380</v>
      </c>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row>
    <row r="67" spans="1:79" ht="14.25" customHeight="1">
      <c r="A67" s="1325" t="s">
        <v>381</v>
      </c>
      <c r="B67" s="1325"/>
      <c r="C67" s="1325"/>
      <c r="D67" s="1325"/>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c r="AE67" s="1325"/>
      <c r="AF67" s="1325"/>
      <c r="AG67" s="1325"/>
      <c r="AH67" s="1325"/>
      <c r="AI67" s="1325"/>
      <c r="AJ67" s="1325"/>
      <c r="AK67" s="651"/>
      <c r="AL67" s="651"/>
      <c r="AM67" s="651"/>
      <c r="AN67" s="651"/>
      <c r="AO67" s="651"/>
      <c r="AP67" s="651"/>
      <c r="AQ67" s="651"/>
      <c r="AR67" s="1325" t="s">
        <v>381</v>
      </c>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row>
    <row r="68" spans="1:79" ht="14.25" customHeight="1">
      <c r="A68" s="1325" t="s">
        <v>382</v>
      </c>
      <c r="B68" s="1325"/>
      <c r="C68" s="1325"/>
      <c r="D68" s="1325"/>
      <c r="E68" s="1325"/>
      <c r="F68" s="1325"/>
      <c r="G68" s="1325"/>
      <c r="H68" s="1325"/>
      <c r="I68" s="1325"/>
      <c r="J68" s="1325"/>
      <c r="K68" s="1325"/>
      <c r="L68" s="1325"/>
      <c r="M68" s="1325"/>
      <c r="N68" s="1325"/>
      <c r="O68" s="1325"/>
      <c r="P68" s="1325"/>
      <c r="Q68" s="1325"/>
      <c r="R68" s="1325"/>
      <c r="S68" s="1325"/>
      <c r="T68" s="1325"/>
      <c r="U68" s="1325"/>
      <c r="V68" s="1325"/>
      <c r="W68" s="1325"/>
      <c r="X68" s="1325"/>
      <c r="Y68" s="1325"/>
      <c r="Z68" s="1325"/>
      <c r="AA68" s="1325"/>
      <c r="AB68" s="1325"/>
      <c r="AC68" s="1325"/>
      <c r="AD68" s="1325"/>
      <c r="AE68" s="1325"/>
      <c r="AF68" s="1325"/>
      <c r="AG68" s="1325"/>
      <c r="AH68" s="1325"/>
      <c r="AI68" s="1325"/>
      <c r="AJ68" s="1325"/>
      <c r="AK68" s="651"/>
      <c r="AL68" s="651"/>
      <c r="AM68" s="651"/>
      <c r="AN68" s="651"/>
      <c r="AO68" s="651"/>
      <c r="AP68" s="651"/>
      <c r="AQ68" s="651"/>
      <c r="AR68" s="1325" t="s">
        <v>382</v>
      </c>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row>
    <row r="69" spans="1:79" ht="14.25" customHeight="1">
      <c r="A69" s="1326" t="s">
        <v>383</v>
      </c>
      <c r="B69" s="1326"/>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c r="AA69" s="1326"/>
      <c r="AB69" s="1326"/>
      <c r="AC69" s="1326"/>
      <c r="AD69" s="1326"/>
      <c r="AE69" s="1326"/>
      <c r="AF69" s="1326"/>
      <c r="AG69" s="1326"/>
      <c r="AH69" s="1326"/>
      <c r="AI69" s="1326"/>
      <c r="AJ69" s="1326"/>
      <c r="AK69" s="652"/>
      <c r="AL69" s="652"/>
      <c r="AM69" s="652"/>
      <c r="AN69" s="652"/>
      <c r="AO69" s="652"/>
      <c r="AP69" s="652"/>
      <c r="AQ69" s="652"/>
      <c r="AR69" s="1326" t="s">
        <v>383</v>
      </c>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row>
    <row r="70" spans="1:79" ht="14.25" customHeight="1" thickBot="1">
      <c r="A70" s="1327" t="s">
        <v>384</v>
      </c>
      <c r="B70" s="1327"/>
      <c r="C70" s="1327"/>
      <c r="D70" s="1327"/>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1327"/>
      <c r="AA70" s="1327"/>
      <c r="AB70" s="1327"/>
      <c r="AC70" s="1327"/>
      <c r="AD70" s="1327"/>
      <c r="AE70" s="1327"/>
      <c r="AF70" s="1327"/>
      <c r="AG70" s="1327"/>
      <c r="AH70" s="1327"/>
      <c r="AI70" s="1327"/>
      <c r="AJ70" s="1327"/>
      <c r="AK70" s="653"/>
      <c r="AL70" s="653"/>
      <c r="AM70" s="653"/>
      <c r="AN70" s="653"/>
      <c r="AO70" s="653"/>
      <c r="AP70" s="653"/>
      <c r="AQ70" s="653"/>
      <c r="AR70" s="1327" t="s">
        <v>384</v>
      </c>
      <c r="AS70" s="1327"/>
      <c r="AT70" s="1327"/>
      <c r="AU70" s="1327"/>
      <c r="AV70" s="1327"/>
      <c r="AW70" s="1327"/>
      <c r="AX70" s="1327"/>
      <c r="AY70" s="1327"/>
      <c r="AZ70" s="1327"/>
      <c r="BA70" s="1327"/>
      <c r="BB70" s="1327"/>
      <c r="BC70" s="1327"/>
      <c r="BD70" s="1327"/>
      <c r="BE70" s="1327"/>
      <c r="BF70" s="1327"/>
      <c r="BG70" s="1327"/>
      <c r="BH70" s="1327"/>
      <c r="BI70" s="1327"/>
      <c r="BJ70" s="1327"/>
      <c r="BK70" s="1327"/>
      <c r="BL70" s="1327"/>
      <c r="BM70" s="1327"/>
      <c r="BN70" s="1327"/>
      <c r="BO70" s="1327"/>
      <c r="BP70" s="1327"/>
      <c r="BQ70" s="1327"/>
      <c r="BR70" s="1327"/>
      <c r="BS70" s="1327"/>
      <c r="BT70" s="1327"/>
      <c r="BU70" s="1327"/>
      <c r="BV70" s="1327"/>
      <c r="BW70" s="1327"/>
      <c r="BX70" s="1327"/>
      <c r="BY70" s="1327"/>
      <c r="BZ70" s="1327"/>
      <c r="CA70" s="1327"/>
    </row>
    <row r="71" spans="1:79" ht="28">
      <c r="A71" s="1267" t="s">
        <v>405</v>
      </c>
      <c r="B71" s="1267"/>
      <c r="C71" s="1267"/>
      <c r="D71" s="1267"/>
      <c r="E71" s="1267"/>
      <c r="F71" s="1267"/>
      <c r="G71" s="1267"/>
      <c r="H71" s="1279">
        <f ca="1">IF(ISBLANK(IBRF!$B$5), "", IBRF!$B$5)</f>
        <v>41377</v>
      </c>
      <c r="I71" s="1279"/>
      <c r="J71" s="1279"/>
      <c r="K71" s="1277" t="str">
        <f ca="1">Score!$A$1</f>
        <v>Detroit Pistoffs</v>
      </c>
      <c r="L71" s="1277"/>
      <c r="M71" s="1277"/>
      <c r="N71" s="1277"/>
      <c r="O71" s="1277"/>
      <c r="P71" s="1277"/>
      <c r="Q71" s="1277"/>
      <c r="R71" s="1277"/>
      <c r="S71" s="1277"/>
      <c r="T71" s="1276" t="s">
        <v>147</v>
      </c>
      <c r="U71" s="1276"/>
      <c r="V71" s="1276"/>
      <c r="W71" s="1276"/>
      <c r="X71" s="1276"/>
      <c r="Y71" s="1276"/>
      <c r="Z71" s="1276"/>
      <c r="AA71" s="1276"/>
      <c r="AB71" s="1276"/>
      <c r="AC71" s="1281" t="s">
        <v>698</v>
      </c>
      <c r="AD71" s="1281"/>
      <c r="AE71" s="1281"/>
      <c r="AF71" s="1281"/>
      <c r="AG71" s="1281"/>
      <c r="AH71" s="1281"/>
      <c r="AI71" s="1281"/>
      <c r="AJ71" s="18">
        <v>2</v>
      </c>
      <c r="AR71" s="1267" t="s">
        <v>405</v>
      </c>
      <c r="AS71" s="1267"/>
      <c r="AT71" s="1267"/>
      <c r="AU71" s="1267"/>
      <c r="AV71" s="1267"/>
      <c r="AW71" s="1267"/>
      <c r="AX71" s="1267"/>
      <c r="AY71" s="1279">
        <f ca="1">IF(ISBLANK(IBRF!$B$5), "", IBRF!$B$5)</f>
        <v>41377</v>
      </c>
      <c r="AZ71" s="1279"/>
      <c r="BA71" s="1279"/>
      <c r="BB71" s="1295" t="str">
        <f ca="1">Score!$T$1</f>
        <v>Pistolwhippers</v>
      </c>
      <c r="BC71" s="1295"/>
      <c r="BD71" s="1295"/>
      <c r="BE71" s="1295"/>
      <c r="BF71" s="1295"/>
      <c r="BG71" s="1295"/>
      <c r="BH71" s="1295"/>
      <c r="BI71" s="1295"/>
      <c r="BJ71" s="1295"/>
      <c r="BK71" s="1276" t="s">
        <v>134</v>
      </c>
      <c r="BL71" s="1276"/>
      <c r="BM71" s="1276"/>
      <c r="BN71" s="1276"/>
      <c r="BO71" s="1276"/>
      <c r="BP71" s="1276"/>
      <c r="BQ71" s="1276"/>
      <c r="BR71" s="1276"/>
      <c r="BS71" s="1276"/>
      <c r="BT71" s="1281" t="s">
        <v>62</v>
      </c>
      <c r="BU71" s="1281"/>
      <c r="BV71" s="1281"/>
      <c r="BW71" s="1281"/>
      <c r="BX71" s="1281"/>
      <c r="BY71" s="1281"/>
      <c r="BZ71" s="1281"/>
      <c r="CA71" s="18">
        <v>2</v>
      </c>
    </row>
    <row r="72" spans="1:79" ht="15" customHeight="1" thickBot="1">
      <c r="A72" s="1268" t="str">
        <f>A2</f>
        <v>Rev. 130308 © 2013 WFTDA</v>
      </c>
      <c r="B72" s="1268"/>
      <c r="C72" s="1268"/>
      <c r="D72" s="1268"/>
      <c r="E72" s="1268"/>
      <c r="F72" s="1268"/>
      <c r="G72" s="1268"/>
      <c r="H72" s="1283" t="s">
        <v>577</v>
      </c>
      <c r="I72" s="1283"/>
      <c r="J72" s="1283"/>
      <c r="K72" s="1278"/>
      <c r="L72" s="1278"/>
      <c r="M72" s="1278"/>
      <c r="N72" s="1278"/>
      <c r="O72" s="1278"/>
      <c r="P72" s="1278"/>
      <c r="Q72" s="1278"/>
      <c r="R72" s="1278"/>
      <c r="S72" s="1278"/>
      <c r="T72" s="1280" t="s">
        <v>498</v>
      </c>
      <c r="U72" s="1280"/>
      <c r="V72" s="1280"/>
      <c r="W72" s="1280"/>
      <c r="X72" s="1280"/>
      <c r="Y72" s="1280"/>
      <c r="Z72" s="1280"/>
      <c r="AA72" s="1280"/>
      <c r="AB72" s="1280"/>
      <c r="AC72" s="1282" t="s">
        <v>502</v>
      </c>
      <c r="AD72" s="1282"/>
      <c r="AE72" s="1282"/>
      <c r="AF72" s="1282"/>
      <c r="AG72" s="1282"/>
      <c r="AH72" s="1282"/>
      <c r="AI72" s="1282"/>
      <c r="AJ72" s="21" t="str">
        <f ca="1">IF(ISBLANK(Score!$R$2), "", Score!$R$2)</f>
        <v>BOUT 199</v>
      </c>
      <c r="AR72" s="1268" t="str">
        <f>A72</f>
        <v>Rev. 130308 © 2013 WFTDA</v>
      </c>
      <c r="AS72" s="1268"/>
      <c r="AT72" s="1268"/>
      <c r="AU72" s="1268"/>
      <c r="AV72" s="1268"/>
      <c r="AW72" s="1268"/>
      <c r="AX72" s="1268"/>
      <c r="AY72" s="1283" t="s">
        <v>577</v>
      </c>
      <c r="AZ72" s="1283"/>
      <c r="BA72" s="1283"/>
      <c r="BB72" s="1296"/>
      <c r="BC72" s="1296"/>
      <c r="BD72" s="1296"/>
      <c r="BE72" s="1296"/>
      <c r="BF72" s="1296"/>
      <c r="BG72" s="1296"/>
      <c r="BH72" s="1296"/>
      <c r="BI72" s="1296"/>
      <c r="BJ72" s="1296"/>
      <c r="BK72" s="1280" t="s">
        <v>498</v>
      </c>
      <c r="BL72" s="1280"/>
      <c r="BM72" s="1280"/>
      <c r="BN72" s="1280"/>
      <c r="BO72" s="1280"/>
      <c r="BP72" s="1280"/>
      <c r="BQ72" s="1280"/>
      <c r="BR72" s="1280"/>
      <c r="BS72" s="1280"/>
      <c r="BT72" s="1282" t="s">
        <v>502</v>
      </c>
      <c r="BU72" s="1282"/>
      <c r="BV72" s="1282"/>
      <c r="BW72" s="1282"/>
      <c r="BX72" s="1282"/>
      <c r="BY72" s="1282"/>
      <c r="BZ72" s="1282"/>
      <c r="CA72" s="21" t="str">
        <f ca="1">IF(ISBLANK(Score!$R$2), "", Score!$R$2)</f>
        <v>BOUT 199</v>
      </c>
    </row>
    <row r="73" spans="1:79" ht="27" thickBot="1">
      <c r="A73" s="162" t="s">
        <v>393</v>
      </c>
      <c r="B73" s="163" t="s">
        <v>394</v>
      </c>
      <c r="C73" s="164" t="s">
        <v>395</v>
      </c>
      <c r="D73" s="165" t="s">
        <v>396</v>
      </c>
      <c r="E73" s="165" t="s">
        <v>397</v>
      </c>
      <c r="F73" s="165" t="s">
        <v>398</v>
      </c>
      <c r="G73" s="166" t="s">
        <v>399</v>
      </c>
      <c r="H73" s="167" t="s">
        <v>400</v>
      </c>
      <c r="I73" s="1297" t="s">
        <v>439</v>
      </c>
      <c r="J73" s="1297"/>
      <c r="K73" s="168" t="s">
        <v>401</v>
      </c>
      <c r="L73" s="1297" t="s">
        <v>439</v>
      </c>
      <c r="M73" s="1297"/>
      <c r="N73" s="168" t="s">
        <v>402</v>
      </c>
      <c r="O73" s="1297" t="s">
        <v>439</v>
      </c>
      <c r="P73" s="1297"/>
      <c r="Q73" s="168" t="s">
        <v>451</v>
      </c>
      <c r="R73" s="1297" t="s">
        <v>439</v>
      </c>
      <c r="S73" s="1297"/>
      <c r="T73" s="168" t="s">
        <v>452</v>
      </c>
      <c r="U73" s="1297" t="s">
        <v>439</v>
      </c>
      <c r="V73" s="1297"/>
      <c r="W73" s="168" t="s">
        <v>453</v>
      </c>
      <c r="X73" s="1290" t="s">
        <v>439</v>
      </c>
      <c r="Y73" s="1290"/>
      <c r="Z73" s="168" t="s">
        <v>454</v>
      </c>
      <c r="AA73" s="1291" t="s">
        <v>439</v>
      </c>
      <c r="AB73" s="1292"/>
      <c r="AC73" s="168" t="s">
        <v>447</v>
      </c>
      <c r="AD73" s="1290" t="s">
        <v>439</v>
      </c>
      <c r="AE73" s="1290"/>
      <c r="AF73" s="168" t="s">
        <v>448</v>
      </c>
      <c r="AG73" s="1297" t="s">
        <v>439</v>
      </c>
      <c r="AH73" s="1297"/>
      <c r="AI73" s="169" t="s">
        <v>455</v>
      </c>
      <c r="AJ73" s="663">
        <v>75</v>
      </c>
      <c r="AK73" s="171" t="s">
        <v>522</v>
      </c>
      <c r="AL73" s="172" t="s">
        <v>440</v>
      </c>
      <c r="AM73" s="173" t="s">
        <v>441</v>
      </c>
      <c r="AN73" s="173" t="s">
        <v>442</v>
      </c>
      <c r="AO73" s="173" t="s">
        <v>443</v>
      </c>
      <c r="AP73" s="173" t="s">
        <v>444</v>
      </c>
      <c r="AQ73" s="177" t="s">
        <v>445</v>
      </c>
      <c r="AR73" s="162" t="s">
        <v>393</v>
      </c>
      <c r="AS73" s="163" t="s">
        <v>394</v>
      </c>
      <c r="AT73" s="164" t="s">
        <v>395</v>
      </c>
      <c r="AU73" s="165" t="s">
        <v>396</v>
      </c>
      <c r="AV73" s="165" t="s">
        <v>397</v>
      </c>
      <c r="AW73" s="165" t="s">
        <v>398</v>
      </c>
      <c r="AX73" s="166" t="s">
        <v>399</v>
      </c>
      <c r="AY73" s="167" t="s">
        <v>400</v>
      </c>
      <c r="AZ73" s="1297" t="s">
        <v>439</v>
      </c>
      <c r="BA73" s="1297"/>
      <c r="BB73" s="168" t="s">
        <v>401</v>
      </c>
      <c r="BC73" s="1297" t="s">
        <v>439</v>
      </c>
      <c r="BD73" s="1297"/>
      <c r="BE73" s="168" t="s">
        <v>402</v>
      </c>
      <c r="BF73" s="1297" t="s">
        <v>439</v>
      </c>
      <c r="BG73" s="1297"/>
      <c r="BH73" s="168" t="s">
        <v>451</v>
      </c>
      <c r="BI73" s="1297" t="s">
        <v>439</v>
      </c>
      <c r="BJ73" s="1297"/>
      <c r="BK73" s="168" t="s">
        <v>452</v>
      </c>
      <c r="BL73" s="1297" t="s">
        <v>439</v>
      </c>
      <c r="BM73" s="1297"/>
      <c r="BN73" s="168" t="s">
        <v>453</v>
      </c>
      <c r="BO73" s="1290" t="s">
        <v>439</v>
      </c>
      <c r="BP73" s="1290"/>
      <c r="BQ73" s="168" t="s">
        <v>454</v>
      </c>
      <c r="BR73" s="1291" t="s">
        <v>439</v>
      </c>
      <c r="BS73" s="1292"/>
      <c r="BT73" s="168" t="s">
        <v>447</v>
      </c>
      <c r="BU73" s="1290" t="s">
        <v>439</v>
      </c>
      <c r="BV73" s="1290"/>
      <c r="BW73" s="168" t="s">
        <v>448</v>
      </c>
      <c r="BX73" s="1297" t="s">
        <v>439</v>
      </c>
      <c r="BY73" s="1297"/>
      <c r="BZ73" s="169" t="s">
        <v>455</v>
      </c>
      <c r="CA73" s="662">
        <v>31</v>
      </c>
    </row>
    <row r="74" spans="1:79" ht="14.25" customHeight="1">
      <c r="A74" s="1272">
        <v>1</v>
      </c>
      <c r="B74" s="1273" t="s">
        <v>223</v>
      </c>
      <c r="C74" s="1274"/>
      <c r="D74" s="1275"/>
      <c r="E74" s="1275"/>
      <c r="F74" s="1275"/>
      <c r="G74" s="1310"/>
      <c r="H74" s="1311">
        <v>0</v>
      </c>
      <c r="I74" s="656"/>
      <c r="J74" s="657"/>
      <c r="K74" s="1293"/>
      <c r="L74" s="656"/>
      <c r="M74" s="657"/>
      <c r="N74" s="1293"/>
      <c r="O74" s="656"/>
      <c r="P74" s="657"/>
      <c r="Q74" s="1293"/>
      <c r="R74" s="656"/>
      <c r="S74" s="657"/>
      <c r="T74" s="1293"/>
      <c r="U74" s="656"/>
      <c r="V74" s="657"/>
      <c r="W74" s="1293"/>
      <c r="X74" s="656"/>
      <c r="Y74" s="657"/>
      <c r="Z74" s="1293"/>
      <c r="AA74" s="656"/>
      <c r="AB74" s="657"/>
      <c r="AC74" s="1293"/>
      <c r="AD74" s="656"/>
      <c r="AE74" s="657"/>
      <c r="AF74" s="1293"/>
      <c r="AG74" s="656"/>
      <c r="AH74" s="657"/>
      <c r="AI74" s="1299">
        <v>0</v>
      </c>
      <c r="AJ74" s="1307">
        <v>75</v>
      </c>
      <c r="AK74" s="1289">
        <v>0</v>
      </c>
      <c r="AL74" s="1298">
        <v>0</v>
      </c>
      <c r="AM74" s="1289">
        <v>0</v>
      </c>
      <c r="AN74" s="1289">
        <v>0</v>
      </c>
      <c r="AO74" s="1289">
        <v>0</v>
      </c>
      <c r="AP74" s="1289">
        <v>0</v>
      </c>
      <c r="AQ74" s="1294">
        <v>0</v>
      </c>
      <c r="AR74" s="1272">
        <v>1</v>
      </c>
      <c r="AS74" s="1273" t="s">
        <v>241</v>
      </c>
      <c r="AT74" s="1274"/>
      <c r="AU74" s="1275" t="s">
        <v>531</v>
      </c>
      <c r="AV74" s="1275" t="s">
        <v>531</v>
      </c>
      <c r="AW74" s="1275"/>
      <c r="AX74" s="1310"/>
      <c r="AY74" s="1311">
        <v>0</v>
      </c>
      <c r="AZ74" s="656"/>
      <c r="BA74" s="657"/>
      <c r="BB74" s="1293"/>
      <c r="BC74" s="656"/>
      <c r="BD74" s="657"/>
      <c r="BE74" s="1293"/>
      <c r="BF74" s="656"/>
      <c r="BG74" s="657"/>
      <c r="BH74" s="1293"/>
      <c r="BI74" s="656"/>
      <c r="BJ74" s="657"/>
      <c r="BK74" s="1293"/>
      <c r="BL74" s="656"/>
      <c r="BM74" s="657"/>
      <c r="BN74" s="1293"/>
      <c r="BO74" s="656"/>
      <c r="BP74" s="657"/>
      <c r="BQ74" s="1293"/>
      <c r="BR74" s="656"/>
      <c r="BS74" s="657"/>
      <c r="BT74" s="1293"/>
      <c r="BU74" s="656"/>
      <c r="BV74" s="657"/>
      <c r="BW74" s="1293"/>
      <c r="BX74" s="656"/>
      <c r="BY74" s="657"/>
      <c r="BZ74" s="1299">
        <v>0</v>
      </c>
      <c r="CA74" s="1307">
        <v>31</v>
      </c>
    </row>
    <row r="75" spans="1:79" ht="14.25" customHeight="1">
      <c r="A75" s="1272"/>
      <c r="B75" s="1273"/>
      <c r="C75" s="1274"/>
      <c r="D75" s="1275"/>
      <c r="E75" s="1275"/>
      <c r="F75" s="1275"/>
      <c r="G75" s="1310"/>
      <c r="H75" s="1311"/>
      <c r="I75" s="656"/>
      <c r="J75" s="657"/>
      <c r="K75" s="1293"/>
      <c r="L75" s="656"/>
      <c r="M75" s="657"/>
      <c r="N75" s="1293"/>
      <c r="O75" s="656"/>
      <c r="P75" s="657"/>
      <c r="Q75" s="1293"/>
      <c r="R75" s="656"/>
      <c r="S75" s="657"/>
      <c r="T75" s="1293"/>
      <c r="U75" s="656"/>
      <c r="V75" s="657"/>
      <c r="W75" s="1293"/>
      <c r="X75" s="656"/>
      <c r="Y75" s="657"/>
      <c r="Z75" s="1293"/>
      <c r="AA75" s="656"/>
      <c r="AB75" s="657"/>
      <c r="AC75" s="1293"/>
      <c r="AD75" s="656"/>
      <c r="AE75" s="657"/>
      <c r="AF75" s="1293"/>
      <c r="AG75" s="656"/>
      <c r="AH75" s="657"/>
      <c r="AI75" s="1299"/>
      <c r="AJ75" s="1307"/>
      <c r="AK75" s="1289"/>
      <c r="AL75" s="1298"/>
      <c r="AM75" s="1289"/>
      <c r="AN75" s="1289"/>
      <c r="AO75" s="1289"/>
      <c r="AP75" s="1289"/>
      <c r="AQ75" s="1294"/>
      <c r="AR75" s="1272"/>
      <c r="AS75" s="1273"/>
      <c r="AT75" s="1274"/>
      <c r="AU75" s="1275"/>
      <c r="AV75" s="1275"/>
      <c r="AW75" s="1275"/>
      <c r="AX75" s="1310"/>
      <c r="AY75" s="1311"/>
      <c r="AZ75" s="656"/>
      <c r="BA75" s="657"/>
      <c r="BB75" s="1293"/>
      <c r="BC75" s="656"/>
      <c r="BD75" s="657"/>
      <c r="BE75" s="1293"/>
      <c r="BF75" s="656"/>
      <c r="BG75" s="657"/>
      <c r="BH75" s="1293"/>
      <c r="BI75" s="656"/>
      <c r="BJ75" s="657"/>
      <c r="BK75" s="1293"/>
      <c r="BL75" s="656"/>
      <c r="BM75" s="657"/>
      <c r="BN75" s="1293"/>
      <c r="BO75" s="656"/>
      <c r="BP75" s="657"/>
      <c r="BQ75" s="1293"/>
      <c r="BR75" s="656"/>
      <c r="BS75" s="657"/>
      <c r="BT75" s="1293"/>
      <c r="BU75" s="656"/>
      <c r="BV75" s="657"/>
      <c r="BW75" s="1293"/>
      <c r="BX75" s="656"/>
      <c r="BY75" s="657"/>
      <c r="BZ75" s="1299"/>
      <c r="CA75" s="1307"/>
    </row>
    <row r="76" spans="1:79" ht="14.25" customHeight="1">
      <c r="A76" s="1308">
        <v>2</v>
      </c>
      <c r="B76" s="1287" t="s">
        <v>59</v>
      </c>
      <c r="C76" s="1288"/>
      <c r="D76" s="1284" t="s">
        <v>531</v>
      </c>
      <c r="E76" s="1284" t="s">
        <v>531</v>
      </c>
      <c r="F76" s="1284"/>
      <c r="G76" s="1285"/>
      <c r="H76" s="1274">
        <v>0</v>
      </c>
      <c r="I76" s="176"/>
      <c r="J76" s="657"/>
      <c r="K76" s="1275"/>
      <c r="L76" s="176"/>
      <c r="M76" s="657"/>
      <c r="N76" s="1275"/>
      <c r="O76" s="176"/>
      <c r="P76" s="657"/>
      <c r="Q76" s="1275"/>
      <c r="R76" s="176"/>
      <c r="S76" s="657"/>
      <c r="T76" s="1275"/>
      <c r="U76" s="176"/>
      <c r="V76" s="657"/>
      <c r="W76" s="1275"/>
      <c r="X76" s="176"/>
      <c r="Y76" s="657"/>
      <c r="Z76" s="1275"/>
      <c r="AA76" s="176"/>
      <c r="AB76" s="657"/>
      <c r="AC76" s="1275"/>
      <c r="AD76" s="176"/>
      <c r="AE76" s="657"/>
      <c r="AF76" s="1275"/>
      <c r="AG76" s="176"/>
      <c r="AH76" s="657"/>
      <c r="AI76" s="1312">
        <v>0</v>
      </c>
      <c r="AJ76" s="1307">
        <v>75</v>
      </c>
      <c r="AK76" s="1289">
        <v>0</v>
      </c>
      <c r="AL76" s="1298">
        <v>0</v>
      </c>
      <c r="AM76" s="1289">
        <v>0</v>
      </c>
      <c r="AN76" s="1289">
        <v>0</v>
      </c>
      <c r="AO76" s="1289">
        <v>0</v>
      </c>
      <c r="AP76" s="1289">
        <v>0</v>
      </c>
      <c r="AQ76" s="1294">
        <v>0</v>
      </c>
      <c r="AR76" s="1308">
        <v>2</v>
      </c>
      <c r="AS76" s="1287" t="s">
        <v>239</v>
      </c>
      <c r="AT76" s="1288"/>
      <c r="AU76" s="1284"/>
      <c r="AV76" s="1284"/>
      <c r="AW76" s="1284"/>
      <c r="AX76" s="1285"/>
      <c r="AY76" s="1274">
        <v>0</v>
      </c>
      <c r="AZ76" s="176"/>
      <c r="BA76" s="657"/>
      <c r="BB76" s="1275"/>
      <c r="BC76" s="176"/>
      <c r="BD76" s="657"/>
      <c r="BE76" s="1275"/>
      <c r="BF76" s="176"/>
      <c r="BG76" s="657"/>
      <c r="BH76" s="1275"/>
      <c r="BI76" s="176"/>
      <c r="BJ76" s="657"/>
      <c r="BK76" s="1275"/>
      <c r="BL76" s="176"/>
      <c r="BM76" s="657"/>
      <c r="BN76" s="1275"/>
      <c r="BO76" s="176"/>
      <c r="BP76" s="657"/>
      <c r="BQ76" s="1275"/>
      <c r="BR76" s="176"/>
      <c r="BS76" s="657"/>
      <c r="BT76" s="1275"/>
      <c r="BU76" s="176"/>
      <c r="BV76" s="657"/>
      <c r="BW76" s="1275"/>
      <c r="BX76" s="176"/>
      <c r="BY76" s="657"/>
      <c r="BZ76" s="1312">
        <v>0</v>
      </c>
      <c r="CA76" s="1307">
        <v>31</v>
      </c>
    </row>
    <row r="77" spans="1:79" ht="14.25" customHeight="1">
      <c r="A77" s="1308"/>
      <c r="B77" s="1287"/>
      <c r="C77" s="1288"/>
      <c r="D77" s="1284"/>
      <c r="E77" s="1284"/>
      <c r="F77" s="1284"/>
      <c r="G77" s="1286"/>
      <c r="H77" s="1274"/>
      <c r="I77" s="176"/>
      <c r="J77" s="657"/>
      <c r="K77" s="1275"/>
      <c r="L77" s="176"/>
      <c r="M77" s="657"/>
      <c r="N77" s="1275"/>
      <c r="O77" s="176"/>
      <c r="P77" s="657"/>
      <c r="Q77" s="1275"/>
      <c r="R77" s="176"/>
      <c r="S77" s="657"/>
      <c r="T77" s="1275"/>
      <c r="U77" s="176"/>
      <c r="V77" s="657"/>
      <c r="W77" s="1275"/>
      <c r="X77" s="176"/>
      <c r="Y77" s="657"/>
      <c r="Z77" s="1275"/>
      <c r="AA77" s="176"/>
      <c r="AB77" s="657"/>
      <c r="AC77" s="1275"/>
      <c r="AD77" s="176"/>
      <c r="AE77" s="657"/>
      <c r="AF77" s="1275"/>
      <c r="AG77" s="176"/>
      <c r="AH77" s="657"/>
      <c r="AI77" s="1313"/>
      <c r="AJ77" s="1307"/>
      <c r="AK77" s="1289"/>
      <c r="AL77" s="1298"/>
      <c r="AM77" s="1289"/>
      <c r="AN77" s="1289"/>
      <c r="AO77" s="1289"/>
      <c r="AP77" s="1289"/>
      <c r="AQ77" s="1294"/>
      <c r="AR77" s="1308"/>
      <c r="AS77" s="1287"/>
      <c r="AT77" s="1288"/>
      <c r="AU77" s="1284"/>
      <c r="AV77" s="1284"/>
      <c r="AW77" s="1284"/>
      <c r="AX77" s="1286"/>
      <c r="AY77" s="1274"/>
      <c r="AZ77" s="176"/>
      <c r="BA77" s="657"/>
      <c r="BB77" s="1275"/>
      <c r="BC77" s="176"/>
      <c r="BD77" s="657"/>
      <c r="BE77" s="1275"/>
      <c r="BF77" s="176"/>
      <c r="BG77" s="657"/>
      <c r="BH77" s="1275"/>
      <c r="BI77" s="176"/>
      <c r="BJ77" s="657"/>
      <c r="BK77" s="1275"/>
      <c r="BL77" s="176"/>
      <c r="BM77" s="657"/>
      <c r="BN77" s="1275"/>
      <c r="BO77" s="176"/>
      <c r="BP77" s="657"/>
      <c r="BQ77" s="1275"/>
      <c r="BR77" s="176"/>
      <c r="BS77" s="657"/>
      <c r="BT77" s="1275"/>
      <c r="BU77" s="176"/>
      <c r="BV77" s="657"/>
      <c r="BW77" s="1275"/>
      <c r="BX77" s="176"/>
      <c r="BY77" s="657"/>
      <c r="BZ77" s="1313"/>
      <c r="CA77" s="1307"/>
    </row>
    <row r="78" spans="1:79" ht="14.25" customHeight="1">
      <c r="A78" s="1272">
        <v>3</v>
      </c>
      <c r="B78" s="1273" t="s">
        <v>221</v>
      </c>
      <c r="C78" s="1274" t="s">
        <v>531</v>
      </c>
      <c r="D78" s="1275" t="s">
        <v>531</v>
      </c>
      <c r="E78" s="1275"/>
      <c r="F78" s="1275"/>
      <c r="G78" s="1310"/>
      <c r="H78" s="1311">
        <v>3</v>
      </c>
      <c r="I78" s="656"/>
      <c r="J78" s="657"/>
      <c r="K78" s="1293"/>
      <c r="L78" s="656"/>
      <c r="M78" s="657"/>
      <c r="N78" s="1293"/>
      <c r="O78" s="656"/>
      <c r="P78" s="657"/>
      <c r="Q78" s="1293"/>
      <c r="R78" s="656"/>
      <c r="S78" s="657"/>
      <c r="T78" s="1293"/>
      <c r="U78" s="656"/>
      <c r="V78" s="657"/>
      <c r="W78" s="1293"/>
      <c r="X78" s="656"/>
      <c r="Y78" s="657"/>
      <c r="Z78" s="1293"/>
      <c r="AA78" s="656"/>
      <c r="AB78" s="657"/>
      <c r="AC78" s="1293"/>
      <c r="AD78" s="656"/>
      <c r="AE78" s="657"/>
      <c r="AF78" s="1293"/>
      <c r="AG78" s="656"/>
      <c r="AH78" s="657"/>
      <c r="AI78" s="1299">
        <v>3</v>
      </c>
      <c r="AJ78" s="1307">
        <v>78</v>
      </c>
      <c r="AK78" s="1289">
        <v>0</v>
      </c>
      <c r="AL78" s="1298">
        <v>0</v>
      </c>
      <c r="AM78" s="1289">
        <v>0</v>
      </c>
      <c r="AN78" s="1289">
        <v>0</v>
      </c>
      <c r="AO78" s="1289">
        <v>0</v>
      </c>
      <c r="AP78" s="1289">
        <v>0</v>
      </c>
      <c r="AQ78" s="1294">
        <v>0</v>
      </c>
      <c r="AR78" s="1272">
        <v>3</v>
      </c>
      <c r="AS78" s="1273" t="s">
        <v>76</v>
      </c>
      <c r="AT78" s="1274"/>
      <c r="AU78" s="1275"/>
      <c r="AV78" s="1275"/>
      <c r="AW78" s="1275"/>
      <c r="AX78" s="1310"/>
      <c r="AY78" s="1311">
        <v>5</v>
      </c>
      <c r="AZ78" s="656" t="s">
        <v>696</v>
      </c>
      <c r="BA78" s="657"/>
      <c r="BB78" s="1293">
        <v>5</v>
      </c>
      <c r="BC78" s="656" t="s">
        <v>696</v>
      </c>
      <c r="BD78" s="657"/>
      <c r="BE78" s="1293"/>
      <c r="BF78" s="656"/>
      <c r="BG78" s="657"/>
      <c r="BH78" s="1293"/>
      <c r="BI78" s="656"/>
      <c r="BJ78" s="657"/>
      <c r="BK78" s="1293"/>
      <c r="BL78" s="656"/>
      <c r="BM78" s="657"/>
      <c r="BN78" s="1293"/>
      <c r="BO78" s="656"/>
      <c r="BP78" s="657"/>
      <c r="BQ78" s="1293"/>
      <c r="BR78" s="656"/>
      <c r="BS78" s="657"/>
      <c r="BT78" s="1293"/>
      <c r="BU78" s="656"/>
      <c r="BV78" s="657"/>
      <c r="BW78" s="1293"/>
      <c r="BX78" s="656"/>
      <c r="BY78" s="657"/>
      <c r="BZ78" s="1299">
        <v>10</v>
      </c>
      <c r="CA78" s="1307">
        <v>41</v>
      </c>
    </row>
    <row r="79" spans="1:79" ht="14.25" customHeight="1">
      <c r="A79" s="1272"/>
      <c r="B79" s="1273"/>
      <c r="C79" s="1274"/>
      <c r="D79" s="1275"/>
      <c r="E79" s="1275"/>
      <c r="F79" s="1275"/>
      <c r="G79" s="1310"/>
      <c r="H79" s="1311"/>
      <c r="I79" s="656"/>
      <c r="J79" s="657"/>
      <c r="K79" s="1293"/>
      <c r="L79" s="656"/>
      <c r="M79" s="657"/>
      <c r="N79" s="1293"/>
      <c r="O79" s="656"/>
      <c r="P79" s="657"/>
      <c r="Q79" s="1293"/>
      <c r="R79" s="656"/>
      <c r="S79" s="657"/>
      <c r="T79" s="1293"/>
      <c r="U79" s="656"/>
      <c r="V79" s="657"/>
      <c r="W79" s="1293"/>
      <c r="X79" s="656"/>
      <c r="Y79" s="657"/>
      <c r="Z79" s="1293"/>
      <c r="AA79" s="656"/>
      <c r="AB79" s="657"/>
      <c r="AC79" s="1293"/>
      <c r="AD79" s="656"/>
      <c r="AE79" s="657"/>
      <c r="AF79" s="1293"/>
      <c r="AG79" s="656"/>
      <c r="AH79" s="657"/>
      <c r="AI79" s="1299"/>
      <c r="AJ79" s="1307"/>
      <c r="AK79" s="1289"/>
      <c r="AL79" s="1298"/>
      <c r="AM79" s="1289"/>
      <c r="AN79" s="1289"/>
      <c r="AO79" s="1289"/>
      <c r="AP79" s="1289"/>
      <c r="AQ79" s="1294"/>
      <c r="AR79" s="1272"/>
      <c r="AS79" s="1273"/>
      <c r="AT79" s="1274"/>
      <c r="AU79" s="1275"/>
      <c r="AV79" s="1275"/>
      <c r="AW79" s="1275"/>
      <c r="AX79" s="1310"/>
      <c r="AY79" s="1311"/>
      <c r="AZ79" s="656"/>
      <c r="BA79" s="657"/>
      <c r="BB79" s="1293"/>
      <c r="BC79" s="656"/>
      <c r="BD79" s="657"/>
      <c r="BE79" s="1293"/>
      <c r="BF79" s="656"/>
      <c r="BG79" s="657"/>
      <c r="BH79" s="1293"/>
      <c r="BI79" s="656"/>
      <c r="BJ79" s="657"/>
      <c r="BK79" s="1293"/>
      <c r="BL79" s="656"/>
      <c r="BM79" s="657"/>
      <c r="BN79" s="1293"/>
      <c r="BO79" s="656"/>
      <c r="BP79" s="657"/>
      <c r="BQ79" s="1293"/>
      <c r="BR79" s="656"/>
      <c r="BS79" s="657"/>
      <c r="BT79" s="1293"/>
      <c r="BU79" s="656"/>
      <c r="BV79" s="657"/>
      <c r="BW79" s="1293"/>
      <c r="BX79" s="656"/>
      <c r="BY79" s="657"/>
      <c r="BZ79" s="1299"/>
      <c r="CA79" s="1307"/>
    </row>
    <row r="80" spans="1:79" ht="14.25" customHeight="1">
      <c r="A80" s="1308">
        <v>4</v>
      </c>
      <c r="B80" s="1287" t="s">
        <v>221</v>
      </c>
      <c r="C80" s="1288"/>
      <c r="D80" s="1284"/>
      <c r="E80" s="1284"/>
      <c r="F80" s="1284"/>
      <c r="G80" s="1285"/>
      <c r="H80" s="1274">
        <v>0</v>
      </c>
      <c r="I80" s="176"/>
      <c r="J80" s="657"/>
      <c r="K80" s="1275"/>
      <c r="L80" s="176"/>
      <c r="M80" s="657"/>
      <c r="N80" s="1275"/>
      <c r="O80" s="176"/>
      <c r="P80" s="657"/>
      <c r="Q80" s="1275"/>
      <c r="R80" s="176"/>
      <c r="S80" s="657"/>
      <c r="T80" s="1275"/>
      <c r="U80" s="176"/>
      <c r="V80" s="657"/>
      <c r="W80" s="1275"/>
      <c r="X80" s="176"/>
      <c r="Y80" s="657"/>
      <c r="Z80" s="1275"/>
      <c r="AA80" s="176"/>
      <c r="AB80" s="657"/>
      <c r="AC80" s="1275"/>
      <c r="AD80" s="176"/>
      <c r="AE80" s="657"/>
      <c r="AF80" s="1275"/>
      <c r="AG80" s="176"/>
      <c r="AH80" s="657"/>
      <c r="AI80" s="1312">
        <v>0</v>
      </c>
      <c r="AJ80" s="1307">
        <v>78</v>
      </c>
      <c r="AK80" s="1289">
        <v>0</v>
      </c>
      <c r="AL80" s="1298">
        <v>0</v>
      </c>
      <c r="AM80" s="1289">
        <v>0</v>
      </c>
      <c r="AN80" s="1289">
        <v>0</v>
      </c>
      <c r="AO80" s="1289">
        <v>0</v>
      </c>
      <c r="AP80" s="1289">
        <v>0</v>
      </c>
      <c r="AQ80" s="1294">
        <v>0</v>
      </c>
      <c r="AR80" s="1308">
        <v>4</v>
      </c>
      <c r="AS80" s="1287" t="s">
        <v>241</v>
      </c>
      <c r="AT80" s="1288"/>
      <c r="AU80" s="1284" t="s">
        <v>531</v>
      </c>
      <c r="AV80" s="1284" t="s">
        <v>531</v>
      </c>
      <c r="AW80" s="1284"/>
      <c r="AX80" s="1285"/>
      <c r="AY80" s="1274">
        <v>4</v>
      </c>
      <c r="AZ80" s="176" t="s">
        <v>527</v>
      </c>
      <c r="BA80" s="657"/>
      <c r="BB80" s="1275"/>
      <c r="BC80" s="176"/>
      <c r="BD80" s="657"/>
      <c r="BE80" s="1275"/>
      <c r="BF80" s="176"/>
      <c r="BG80" s="657"/>
      <c r="BH80" s="1275"/>
      <c r="BI80" s="176"/>
      <c r="BJ80" s="657"/>
      <c r="BK80" s="1275"/>
      <c r="BL80" s="176"/>
      <c r="BM80" s="657"/>
      <c r="BN80" s="1275"/>
      <c r="BO80" s="176"/>
      <c r="BP80" s="657"/>
      <c r="BQ80" s="1275"/>
      <c r="BR80" s="176"/>
      <c r="BS80" s="657"/>
      <c r="BT80" s="1275"/>
      <c r="BU80" s="176"/>
      <c r="BV80" s="657"/>
      <c r="BW80" s="1275"/>
      <c r="BX80" s="176"/>
      <c r="BY80" s="657"/>
      <c r="BZ80" s="1312">
        <v>4</v>
      </c>
      <c r="CA80" s="1307">
        <v>45</v>
      </c>
    </row>
    <row r="81" spans="1:79" ht="14.25" customHeight="1">
      <c r="A81" s="1308"/>
      <c r="B81" s="1287"/>
      <c r="C81" s="1288"/>
      <c r="D81" s="1284"/>
      <c r="E81" s="1284"/>
      <c r="F81" s="1284"/>
      <c r="G81" s="1286"/>
      <c r="H81" s="1274"/>
      <c r="I81" s="176"/>
      <c r="J81" s="657"/>
      <c r="K81" s="1275"/>
      <c r="L81" s="176"/>
      <c r="M81" s="657"/>
      <c r="N81" s="1275"/>
      <c r="O81" s="176"/>
      <c r="P81" s="657"/>
      <c r="Q81" s="1275"/>
      <c r="R81" s="176"/>
      <c r="S81" s="657"/>
      <c r="T81" s="1275"/>
      <c r="U81" s="176"/>
      <c r="V81" s="657"/>
      <c r="W81" s="1275"/>
      <c r="X81" s="176"/>
      <c r="Y81" s="657"/>
      <c r="Z81" s="1275"/>
      <c r="AA81" s="176"/>
      <c r="AB81" s="657"/>
      <c r="AC81" s="1275"/>
      <c r="AD81" s="176"/>
      <c r="AE81" s="657"/>
      <c r="AF81" s="1275"/>
      <c r="AG81" s="176"/>
      <c r="AH81" s="657"/>
      <c r="AI81" s="1313"/>
      <c r="AJ81" s="1307"/>
      <c r="AK81" s="1289"/>
      <c r="AL81" s="1298"/>
      <c r="AM81" s="1289"/>
      <c r="AN81" s="1289"/>
      <c r="AO81" s="1289"/>
      <c r="AP81" s="1289"/>
      <c r="AQ81" s="1294"/>
      <c r="AR81" s="1308"/>
      <c r="AS81" s="1287"/>
      <c r="AT81" s="1288"/>
      <c r="AU81" s="1284"/>
      <c r="AV81" s="1284"/>
      <c r="AW81" s="1284"/>
      <c r="AX81" s="1286"/>
      <c r="AY81" s="1274"/>
      <c r="AZ81" s="176"/>
      <c r="BA81" s="657"/>
      <c r="BB81" s="1275"/>
      <c r="BC81" s="176"/>
      <c r="BD81" s="657"/>
      <c r="BE81" s="1275"/>
      <c r="BF81" s="176"/>
      <c r="BG81" s="657"/>
      <c r="BH81" s="1275"/>
      <c r="BI81" s="176"/>
      <c r="BJ81" s="657"/>
      <c r="BK81" s="1275"/>
      <c r="BL81" s="176"/>
      <c r="BM81" s="657"/>
      <c r="BN81" s="1275"/>
      <c r="BO81" s="176"/>
      <c r="BP81" s="657"/>
      <c r="BQ81" s="1275"/>
      <c r="BR81" s="176"/>
      <c r="BS81" s="657"/>
      <c r="BT81" s="1275"/>
      <c r="BU81" s="176"/>
      <c r="BV81" s="657"/>
      <c r="BW81" s="1275"/>
      <c r="BX81" s="176"/>
      <c r="BY81" s="657"/>
      <c r="BZ81" s="1313"/>
      <c r="CA81" s="1307"/>
    </row>
    <row r="82" spans="1:79" ht="14.25" customHeight="1">
      <c r="A82" s="1272">
        <v>5</v>
      </c>
      <c r="B82" s="1273" t="s">
        <v>223</v>
      </c>
      <c r="C82" s="1274"/>
      <c r="D82" s="1275"/>
      <c r="E82" s="1275"/>
      <c r="F82" s="1275"/>
      <c r="G82" s="1310"/>
      <c r="H82" s="1311">
        <v>0</v>
      </c>
      <c r="I82" s="656"/>
      <c r="J82" s="657"/>
      <c r="K82" s="1293"/>
      <c r="L82" s="656"/>
      <c r="M82" s="657"/>
      <c r="N82" s="1293"/>
      <c r="O82" s="656"/>
      <c r="P82" s="657"/>
      <c r="Q82" s="1293"/>
      <c r="R82" s="656"/>
      <c r="S82" s="657"/>
      <c r="T82" s="1293"/>
      <c r="U82" s="656"/>
      <c r="V82" s="657"/>
      <c r="W82" s="1293"/>
      <c r="X82" s="656"/>
      <c r="Y82" s="657"/>
      <c r="Z82" s="1293"/>
      <c r="AA82" s="656"/>
      <c r="AB82" s="657"/>
      <c r="AC82" s="1293"/>
      <c r="AD82" s="656"/>
      <c r="AE82" s="657"/>
      <c r="AF82" s="1293"/>
      <c r="AG82" s="656"/>
      <c r="AH82" s="657"/>
      <c r="AI82" s="1299">
        <v>0</v>
      </c>
      <c r="AJ82" s="1307">
        <v>78</v>
      </c>
      <c r="AK82" s="1289">
        <v>0</v>
      </c>
      <c r="AL82" s="1298">
        <v>0</v>
      </c>
      <c r="AM82" s="1289">
        <v>0</v>
      </c>
      <c r="AN82" s="1289">
        <v>0</v>
      </c>
      <c r="AO82" s="1289">
        <v>0</v>
      </c>
      <c r="AP82" s="1289">
        <v>0</v>
      </c>
      <c r="AQ82" s="1294">
        <v>0</v>
      </c>
      <c r="AR82" s="1272">
        <v>5</v>
      </c>
      <c r="AS82" s="1273" t="s">
        <v>239</v>
      </c>
      <c r="AT82" s="1274"/>
      <c r="AU82" s="1275" t="s">
        <v>531</v>
      </c>
      <c r="AV82" s="1275" t="s">
        <v>531</v>
      </c>
      <c r="AW82" s="1275"/>
      <c r="AX82" s="1310"/>
      <c r="AY82" s="1311">
        <v>3</v>
      </c>
      <c r="AZ82" s="656"/>
      <c r="BA82" s="657"/>
      <c r="BB82" s="1293"/>
      <c r="BC82" s="656"/>
      <c r="BD82" s="657"/>
      <c r="BE82" s="1293"/>
      <c r="BF82" s="656"/>
      <c r="BG82" s="657"/>
      <c r="BH82" s="1293"/>
      <c r="BI82" s="656"/>
      <c r="BJ82" s="657"/>
      <c r="BK82" s="1293"/>
      <c r="BL82" s="656"/>
      <c r="BM82" s="657"/>
      <c r="BN82" s="1293"/>
      <c r="BO82" s="656"/>
      <c r="BP82" s="657"/>
      <c r="BQ82" s="1293"/>
      <c r="BR82" s="656"/>
      <c r="BS82" s="657"/>
      <c r="BT82" s="1293"/>
      <c r="BU82" s="656"/>
      <c r="BV82" s="657"/>
      <c r="BW82" s="1293"/>
      <c r="BX82" s="656"/>
      <c r="BY82" s="657"/>
      <c r="BZ82" s="1299">
        <v>3</v>
      </c>
      <c r="CA82" s="1307">
        <v>48</v>
      </c>
    </row>
    <row r="83" spans="1:79" ht="14.25" customHeight="1">
      <c r="A83" s="1272"/>
      <c r="B83" s="1273"/>
      <c r="C83" s="1274"/>
      <c r="D83" s="1275"/>
      <c r="E83" s="1275"/>
      <c r="F83" s="1275"/>
      <c r="G83" s="1310"/>
      <c r="H83" s="1311"/>
      <c r="I83" s="656"/>
      <c r="J83" s="657"/>
      <c r="K83" s="1293"/>
      <c r="L83" s="656"/>
      <c r="M83" s="657"/>
      <c r="N83" s="1293"/>
      <c r="O83" s="656"/>
      <c r="P83" s="657"/>
      <c r="Q83" s="1293"/>
      <c r="R83" s="656"/>
      <c r="S83" s="657"/>
      <c r="T83" s="1293"/>
      <c r="U83" s="656"/>
      <c r="V83" s="657"/>
      <c r="W83" s="1293"/>
      <c r="X83" s="656"/>
      <c r="Y83" s="657"/>
      <c r="Z83" s="1293"/>
      <c r="AA83" s="656"/>
      <c r="AB83" s="657"/>
      <c r="AC83" s="1293"/>
      <c r="AD83" s="656"/>
      <c r="AE83" s="657"/>
      <c r="AF83" s="1293"/>
      <c r="AG83" s="656"/>
      <c r="AH83" s="657"/>
      <c r="AI83" s="1299"/>
      <c r="AJ83" s="1307"/>
      <c r="AK83" s="1289"/>
      <c r="AL83" s="1298"/>
      <c r="AM83" s="1289"/>
      <c r="AN83" s="1289"/>
      <c r="AO83" s="1289"/>
      <c r="AP83" s="1289"/>
      <c r="AQ83" s="1294"/>
      <c r="AR83" s="1272"/>
      <c r="AS83" s="1273"/>
      <c r="AT83" s="1274"/>
      <c r="AU83" s="1275"/>
      <c r="AV83" s="1275"/>
      <c r="AW83" s="1275"/>
      <c r="AX83" s="1310"/>
      <c r="AY83" s="1311"/>
      <c r="AZ83" s="656"/>
      <c r="BA83" s="657"/>
      <c r="BB83" s="1293"/>
      <c r="BC83" s="656"/>
      <c r="BD83" s="657"/>
      <c r="BE83" s="1293"/>
      <c r="BF83" s="656"/>
      <c r="BG83" s="657"/>
      <c r="BH83" s="1293"/>
      <c r="BI83" s="656"/>
      <c r="BJ83" s="657"/>
      <c r="BK83" s="1293"/>
      <c r="BL83" s="656"/>
      <c r="BM83" s="657"/>
      <c r="BN83" s="1293"/>
      <c r="BO83" s="656"/>
      <c r="BP83" s="657"/>
      <c r="BQ83" s="1293"/>
      <c r="BR83" s="656"/>
      <c r="BS83" s="657"/>
      <c r="BT83" s="1293"/>
      <c r="BU83" s="656"/>
      <c r="BV83" s="657"/>
      <c r="BW83" s="1293"/>
      <c r="BX83" s="656"/>
      <c r="BY83" s="657"/>
      <c r="BZ83" s="1299"/>
      <c r="CA83" s="1307"/>
    </row>
    <row r="84" spans="1:79" ht="14.25" customHeight="1">
      <c r="A84" s="1308">
        <v>6</v>
      </c>
      <c r="B84" s="1287" t="s">
        <v>59</v>
      </c>
      <c r="C84" s="1288"/>
      <c r="D84" s="1284"/>
      <c r="E84" s="1284"/>
      <c r="F84" s="1284"/>
      <c r="G84" s="1285"/>
      <c r="H84" s="1274">
        <v>0</v>
      </c>
      <c r="I84" s="176"/>
      <c r="J84" s="657"/>
      <c r="K84" s="1275"/>
      <c r="L84" s="176"/>
      <c r="M84" s="657"/>
      <c r="N84" s="1275"/>
      <c r="O84" s="176"/>
      <c r="P84" s="657"/>
      <c r="Q84" s="1275"/>
      <c r="R84" s="176"/>
      <c r="S84" s="657"/>
      <c r="T84" s="1275"/>
      <c r="U84" s="176"/>
      <c r="V84" s="657"/>
      <c r="W84" s="1275"/>
      <c r="X84" s="176"/>
      <c r="Y84" s="657"/>
      <c r="Z84" s="1275"/>
      <c r="AA84" s="176"/>
      <c r="AB84" s="657"/>
      <c r="AC84" s="1275"/>
      <c r="AD84" s="176"/>
      <c r="AE84" s="657"/>
      <c r="AF84" s="1275"/>
      <c r="AG84" s="176"/>
      <c r="AH84" s="657"/>
      <c r="AI84" s="1312">
        <v>0</v>
      </c>
      <c r="AJ84" s="1307">
        <v>78</v>
      </c>
      <c r="AK84" s="1289">
        <v>0</v>
      </c>
      <c r="AL84" s="1298">
        <v>0</v>
      </c>
      <c r="AM84" s="1289">
        <v>0</v>
      </c>
      <c r="AN84" s="1289">
        <v>0</v>
      </c>
      <c r="AO84" s="1289">
        <v>0</v>
      </c>
      <c r="AP84" s="1289">
        <v>0</v>
      </c>
      <c r="AQ84" s="1294">
        <v>0</v>
      </c>
      <c r="AR84" s="1308">
        <v>6</v>
      </c>
      <c r="AS84" s="1287" t="s">
        <v>76</v>
      </c>
      <c r="AT84" s="1288"/>
      <c r="AU84" s="1284" t="s">
        <v>531</v>
      </c>
      <c r="AV84" s="1284" t="s">
        <v>531</v>
      </c>
      <c r="AW84" s="1284"/>
      <c r="AX84" s="1285"/>
      <c r="AY84" s="1274">
        <v>3</v>
      </c>
      <c r="AZ84" s="176"/>
      <c r="BA84" s="657"/>
      <c r="BB84" s="1275"/>
      <c r="BC84" s="176"/>
      <c r="BD84" s="657"/>
      <c r="BE84" s="1275"/>
      <c r="BF84" s="176"/>
      <c r="BG84" s="657"/>
      <c r="BH84" s="1275"/>
      <c r="BI84" s="176"/>
      <c r="BJ84" s="657"/>
      <c r="BK84" s="1275"/>
      <c r="BL84" s="176"/>
      <c r="BM84" s="657"/>
      <c r="BN84" s="1275"/>
      <c r="BO84" s="176"/>
      <c r="BP84" s="657"/>
      <c r="BQ84" s="1275"/>
      <c r="BR84" s="176"/>
      <c r="BS84" s="657"/>
      <c r="BT84" s="1275"/>
      <c r="BU84" s="176"/>
      <c r="BV84" s="657"/>
      <c r="BW84" s="1275"/>
      <c r="BX84" s="176"/>
      <c r="BY84" s="657"/>
      <c r="BZ84" s="1312">
        <v>3</v>
      </c>
      <c r="CA84" s="1307">
        <v>51</v>
      </c>
    </row>
    <row r="85" spans="1:79" ht="14.25" customHeight="1">
      <c r="A85" s="1308"/>
      <c r="B85" s="1287"/>
      <c r="C85" s="1288"/>
      <c r="D85" s="1284"/>
      <c r="E85" s="1284"/>
      <c r="F85" s="1284"/>
      <c r="G85" s="1286"/>
      <c r="H85" s="1274"/>
      <c r="I85" s="176"/>
      <c r="J85" s="657"/>
      <c r="K85" s="1275"/>
      <c r="L85" s="176"/>
      <c r="M85" s="657"/>
      <c r="N85" s="1275"/>
      <c r="O85" s="176"/>
      <c r="P85" s="657"/>
      <c r="Q85" s="1275"/>
      <c r="R85" s="176"/>
      <c r="S85" s="657"/>
      <c r="T85" s="1275"/>
      <c r="U85" s="176"/>
      <c r="V85" s="657"/>
      <c r="W85" s="1275"/>
      <c r="X85" s="176"/>
      <c r="Y85" s="657"/>
      <c r="Z85" s="1275"/>
      <c r="AA85" s="176"/>
      <c r="AB85" s="657"/>
      <c r="AC85" s="1275"/>
      <c r="AD85" s="176"/>
      <c r="AE85" s="657"/>
      <c r="AF85" s="1275"/>
      <c r="AG85" s="176"/>
      <c r="AH85" s="657"/>
      <c r="AI85" s="1313"/>
      <c r="AJ85" s="1307"/>
      <c r="AK85" s="1289"/>
      <c r="AL85" s="1298"/>
      <c r="AM85" s="1289"/>
      <c r="AN85" s="1289"/>
      <c r="AO85" s="1289"/>
      <c r="AP85" s="1289"/>
      <c r="AQ85" s="1294"/>
      <c r="AR85" s="1308"/>
      <c r="AS85" s="1287"/>
      <c r="AT85" s="1288"/>
      <c r="AU85" s="1284"/>
      <c r="AV85" s="1284"/>
      <c r="AW85" s="1284"/>
      <c r="AX85" s="1286"/>
      <c r="AY85" s="1274"/>
      <c r="AZ85" s="176"/>
      <c r="BA85" s="657"/>
      <c r="BB85" s="1275"/>
      <c r="BC85" s="176"/>
      <c r="BD85" s="657"/>
      <c r="BE85" s="1275"/>
      <c r="BF85" s="176"/>
      <c r="BG85" s="657"/>
      <c r="BH85" s="1275"/>
      <c r="BI85" s="176"/>
      <c r="BJ85" s="657"/>
      <c r="BK85" s="1275"/>
      <c r="BL85" s="176"/>
      <c r="BM85" s="657"/>
      <c r="BN85" s="1275"/>
      <c r="BO85" s="176"/>
      <c r="BP85" s="657"/>
      <c r="BQ85" s="1275"/>
      <c r="BR85" s="176"/>
      <c r="BS85" s="657"/>
      <c r="BT85" s="1275"/>
      <c r="BU85" s="176"/>
      <c r="BV85" s="657"/>
      <c r="BW85" s="1275"/>
      <c r="BX85" s="176"/>
      <c r="BY85" s="657"/>
      <c r="BZ85" s="1313"/>
      <c r="CA85" s="1307"/>
    </row>
    <row r="86" spans="1:79" ht="14.25" customHeight="1">
      <c r="A86" s="1272">
        <v>7</v>
      </c>
      <c r="B86" s="1273" t="s">
        <v>223</v>
      </c>
      <c r="C86" s="1274"/>
      <c r="D86" s="1275" t="s">
        <v>531</v>
      </c>
      <c r="E86" s="1275" t="s">
        <v>531</v>
      </c>
      <c r="F86" s="1275"/>
      <c r="G86" s="1310"/>
      <c r="H86" s="1311">
        <v>3</v>
      </c>
      <c r="I86" s="656" t="s">
        <v>527</v>
      </c>
      <c r="J86" s="657"/>
      <c r="K86" s="1293"/>
      <c r="L86" s="656"/>
      <c r="M86" s="657"/>
      <c r="N86" s="1293"/>
      <c r="O86" s="656"/>
      <c r="P86" s="657"/>
      <c r="Q86" s="1293"/>
      <c r="R86" s="656"/>
      <c r="S86" s="657"/>
      <c r="T86" s="1293"/>
      <c r="U86" s="656"/>
      <c r="V86" s="657"/>
      <c r="W86" s="1293"/>
      <c r="X86" s="656"/>
      <c r="Y86" s="657"/>
      <c r="Z86" s="1293"/>
      <c r="AA86" s="656"/>
      <c r="AB86" s="657"/>
      <c r="AC86" s="1293"/>
      <c r="AD86" s="656"/>
      <c r="AE86" s="657"/>
      <c r="AF86" s="1293"/>
      <c r="AG86" s="656"/>
      <c r="AH86" s="657"/>
      <c r="AI86" s="1299">
        <v>3</v>
      </c>
      <c r="AJ86" s="1307">
        <v>81</v>
      </c>
      <c r="AK86" s="1289">
        <v>0</v>
      </c>
      <c r="AL86" s="1298">
        <v>0</v>
      </c>
      <c r="AM86" s="1289">
        <v>0</v>
      </c>
      <c r="AN86" s="1289">
        <v>0</v>
      </c>
      <c r="AO86" s="1289">
        <v>0</v>
      </c>
      <c r="AP86" s="1289">
        <v>0</v>
      </c>
      <c r="AQ86" s="1294">
        <v>0</v>
      </c>
      <c r="AR86" s="1272">
        <v>7</v>
      </c>
      <c r="AS86" s="1273" t="s">
        <v>241</v>
      </c>
      <c r="AT86" s="1274"/>
      <c r="AU86" s="1275"/>
      <c r="AV86" s="1275"/>
      <c r="AW86" s="1275"/>
      <c r="AX86" s="1310"/>
      <c r="AY86" s="1311">
        <v>2</v>
      </c>
      <c r="AZ86" s="656"/>
      <c r="BA86" s="657"/>
      <c r="BB86" s="1293"/>
      <c r="BC86" s="656"/>
      <c r="BD86" s="657"/>
      <c r="BE86" s="1293"/>
      <c r="BF86" s="656"/>
      <c r="BG86" s="657"/>
      <c r="BH86" s="1293"/>
      <c r="BI86" s="656"/>
      <c r="BJ86" s="657"/>
      <c r="BK86" s="1293"/>
      <c r="BL86" s="656"/>
      <c r="BM86" s="657"/>
      <c r="BN86" s="1293"/>
      <c r="BO86" s="656"/>
      <c r="BP86" s="657"/>
      <c r="BQ86" s="1293"/>
      <c r="BR86" s="656"/>
      <c r="BS86" s="657"/>
      <c r="BT86" s="1293"/>
      <c r="BU86" s="656"/>
      <c r="BV86" s="657"/>
      <c r="BW86" s="1293"/>
      <c r="BX86" s="656"/>
      <c r="BY86" s="657"/>
      <c r="BZ86" s="1299">
        <v>2</v>
      </c>
      <c r="CA86" s="1307">
        <v>53</v>
      </c>
    </row>
    <row r="87" spans="1:79" ht="14.25" customHeight="1">
      <c r="A87" s="1272"/>
      <c r="B87" s="1273"/>
      <c r="C87" s="1274"/>
      <c r="D87" s="1275"/>
      <c r="E87" s="1275"/>
      <c r="F87" s="1275"/>
      <c r="G87" s="1310"/>
      <c r="H87" s="1311"/>
      <c r="I87" s="656"/>
      <c r="J87" s="657"/>
      <c r="K87" s="1293"/>
      <c r="L87" s="656"/>
      <c r="M87" s="657"/>
      <c r="N87" s="1293"/>
      <c r="O87" s="656"/>
      <c r="P87" s="657"/>
      <c r="Q87" s="1293"/>
      <c r="R87" s="656"/>
      <c r="S87" s="657"/>
      <c r="T87" s="1293"/>
      <c r="U87" s="656"/>
      <c r="V87" s="657"/>
      <c r="W87" s="1293"/>
      <c r="X87" s="656"/>
      <c r="Y87" s="657"/>
      <c r="Z87" s="1293"/>
      <c r="AA87" s="656"/>
      <c r="AB87" s="657"/>
      <c r="AC87" s="1293"/>
      <c r="AD87" s="656"/>
      <c r="AE87" s="657"/>
      <c r="AF87" s="1293"/>
      <c r="AG87" s="656"/>
      <c r="AH87" s="657"/>
      <c r="AI87" s="1299"/>
      <c r="AJ87" s="1307"/>
      <c r="AK87" s="1289"/>
      <c r="AL87" s="1298"/>
      <c r="AM87" s="1289"/>
      <c r="AN87" s="1289"/>
      <c r="AO87" s="1289"/>
      <c r="AP87" s="1289"/>
      <c r="AQ87" s="1294"/>
      <c r="AR87" s="1272"/>
      <c r="AS87" s="1273"/>
      <c r="AT87" s="1274"/>
      <c r="AU87" s="1275"/>
      <c r="AV87" s="1275"/>
      <c r="AW87" s="1275"/>
      <c r="AX87" s="1310"/>
      <c r="AY87" s="1311"/>
      <c r="AZ87" s="656"/>
      <c r="BA87" s="657"/>
      <c r="BB87" s="1293"/>
      <c r="BC87" s="656"/>
      <c r="BD87" s="657"/>
      <c r="BE87" s="1293"/>
      <c r="BF87" s="656"/>
      <c r="BG87" s="657"/>
      <c r="BH87" s="1293"/>
      <c r="BI87" s="656"/>
      <c r="BJ87" s="657"/>
      <c r="BK87" s="1293"/>
      <c r="BL87" s="656"/>
      <c r="BM87" s="657"/>
      <c r="BN87" s="1293"/>
      <c r="BO87" s="656"/>
      <c r="BP87" s="657"/>
      <c r="BQ87" s="1293"/>
      <c r="BR87" s="656"/>
      <c r="BS87" s="657"/>
      <c r="BT87" s="1293"/>
      <c r="BU87" s="656"/>
      <c r="BV87" s="657"/>
      <c r="BW87" s="1293"/>
      <c r="BX87" s="656"/>
      <c r="BY87" s="657"/>
      <c r="BZ87" s="1299"/>
      <c r="CA87" s="1307"/>
    </row>
    <row r="88" spans="1:79" ht="14.25" customHeight="1">
      <c r="A88" s="1308">
        <v>8</v>
      </c>
      <c r="B88" s="1287" t="s">
        <v>59</v>
      </c>
      <c r="C88" s="1288"/>
      <c r="D88" s="1284"/>
      <c r="E88" s="1284"/>
      <c r="F88" s="1284"/>
      <c r="G88" s="1285"/>
      <c r="H88" s="1274">
        <v>0</v>
      </c>
      <c r="I88" s="176"/>
      <c r="J88" s="657"/>
      <c r="K88" s="1275"/>
      <c r="L88" s="176"/>
      <c r="M88" s="657"/>
      <c r="N88" s="1275"/>
      <c r="O88" s="176"/>
      <c r="P88" s="657"/>
      <c r="Q88" s="1275"/>
      <c r="R88" s="176"/>
      <c r="S88" s="657"/>
      <c r="T88" s="1275"/>
      <c r="U88" s="176"/>
      <c r="V88" s="657"/>
      <c r="W88" s="1275"/>
      <c r="X88" s="176"/>
      <c r="Y88" s="657"/>
      <c r="Z88" s="1275"/>
      <c r="AA88" s="176"/>
      <c r="AB88" s="657"/>
      <c r="AC88" s="1275"/>
      <c r="AD88" s="176"/>
      <c r="AE88" s="657"/>
      <c r="AF88" s="1275"/>
      <c r="AG88" s="176"/>
      <c r="AH88" s="657"/>
      <c r="AI88" s="1312">
        <v>0</v>
      </c>
      <c r="AJ88" s="1307">
        <v>81</v>
      </c>
      <c r="AK88" s="1289">
        <v>0</v>
      </c>
      <c r="AL88" s="1298">
        <v>0</v>
      </c>
      <c r="AM88" s="1289">
        <v>0</v>
      </c>
      <c r="AN88" s="1289">
        <v>0</v>
      </c>
      <c r="AO88" s="1289">
        <v>0</v>
      </c>
      <c r="AP88" s="1289">
        <v>0</v>
      </c>
      <c r="AQ88" s="1294">
        <v>0</v>
      </c>
      <c r="AR88" s="1308">
        <v>8</v>
      </c>
      <c r="AS88" s="1287" t="s">
        <v>239</v>
      </c>
      <c r="AT88" s="1288"/>
      <c r="AU88" s="1284" t="s">
        <v>531</v>
      </c>
      <c r="AV88" s="1284" t="s">
        <v>531</v>
      </c>
      <c r="AW88" s="1284"/>
      <c r="AX88" s="1285"/>
      <c r="AY88" s="1274">
        <v>4</v>
      </c>
      <c r="AZ88" s="176" t="s">
        <v>461</v>
      </c>
      <c r="BA88" s="657"/>
      <c r="BB88" s="1275">
        <v>5</v>
      </c>
      <c r="BC88" s="176" t="s">
        <v>461</v>
      </c>
      <c r="BD88" s="657"/>
      <c r="BE88" s="1275">
        <v>3</v>
      </c>
      <c r="BF88" s="176"/>
      <c r="BG88" s="657"/>
      <c r="BH88" s="1275"/>
      <c r="BI88" s="176"/>
      <c r="BJ88" s="657"/>
      <c r="BK88" s="1275"/>
      <c r="BL88" s="176"/>
      <c r="BM88" s="657"/>
      <c r="BN88" s="1275"/>
      <c r="BO88" s="176"/>
      <c r="BP88" s="657"/>
      <c r="BQ88" s="1275"/>
      <c r="BR88" s="176"/>
      <c r="BS88" s="657"/>
      <c r="BT88" s="1275"/>
      <c r="BU88" s="176"/>
      <c r="BV88" s="657"/>
      <c r="BW88" s="1275"/>
      <c r="BX88" s="176"/>
      <c r="BY88" s="657"/>
      <c r="BZ88" s="1312">
        <v>12</v>
      </c>
      <c r="CA88" s="1307">
        <v>65</v>
      </c>
    </row>
    <row r="89" spans="1:79" ht="14.25" customHeight="1">
      <c r="A89" s="1308"/>
      <c r="B89" s="1287"/>
      <c r="C89" s="1288"/>
      <c r="D89" s="1284"/>
      <c r="E89" s="1284"/>
      <c r="F89" s="1284"/>
      <c r="G89" s="1286"/>
      <c r="H89" s="1274"/>
      <c r="I89" s="176"/>
      <c r="J89" s="657"/>
      <c r="K89" s="1275"/>
      <c r="L89" s="176"/>
      <c r="M89" s="657"/>
      <c r="N89" s="1275"/>
      <c r="O89" s="176"/>
      <c r="P89" s="657"/>
      <c r="Q89" s="1275"/>
      <c r="R89" s="176"/>
      <c r="S89" s="657"/>
      <c r="T89" s="1275"/>
      <c r="U89" s="176"/>
      <c r="V89" s="657"/>
      <c r="W89" s="1275"/>
      <c r="X89" s="176"/>
      <c r="Y89" s="657"/>
      <c r="Z89" s="1275"/>
      <c r="AA89" s="176"/>
      <c r="AB89" s="657"/>
      <c r="AC89" s="1275"/>
      <c r="AD89" s="176"/>
      <c r="AE89" s="657"/>
      <c r="AF89" s="1275"/>
      <c r="AG89" s="176"/>
      <c r="AH89" s="657"/>
      <c r="AI89" s="1313"/>
      <c r="AJ89" s="1307"/>
      <c r="AK89" s="1289"/>
      <c r="AL89" s="1298"/>
      <c r="AM89" s="1289"/>
      <c r="AN89" s="1289"/>
      <c r="AO89" s="1289"/>
      <c r="AP89" s="1289"/>
      <c r="AQ89" s="1294"/>
      <c r="AR89" s="1308"/>
      <c r="AS89" s="1287"/>
      <c r="AT89" s="1288"/>
      <c r="AU89" s="1284"/>
      <c r="AV89" s="1284"/>
      <c r="AW89" s="1284"/>
      <c r="AX89" s="1286"/>
      <c r="AY89" s="1274"/>
      <c r="AZ89" s="176"/>
      <c r="BA89" s="657"/>
      <c r="BB89" s="1275"/>
      <c r="BC89" s="176"/>
      <c r="BD89" s="657"/>
      <c r="BE89" s="1275"/>
      <c r="BF89" s="176"/>
      <c r="BG89" s="657"/>
      <c r="BH89" s="1275"/>
      <c r="BI89" s="176"/>
      <c r="BJ89" s="657"/>
      <c r="BK89" s="1275"/>
      <c r="BL89" s="176"/>
      <c r="BM89" s="657"/>
      <c r="BN89" s="1275"/>
      <c r="BO89" s="176"/>
      <c r="BP89" s="657"/>
      <c r="BQ89" s="1275"/>
      <c r="BR89" s="176"/>
      <c r="BS89" s="657"/>
      <c r="BT89" s="1275"/>
      <c r="BU89" s="176"/>
      <c r="BV89" s="657"/>
      <c r="BW89" s="1275"/>
      <c r="BX89" s="176"/>
      <c r="BY89" s="657"/>
      <c r="BZ89" s="1313"/>
      <c r="CA89" s="1307"/>
    </row>
    <row r="90" spans="1:79" ht="14.25" customHeight="1">
      <c r="A90" s="1272">
        <v>9</v>
      </c>
      <c r="B90" s="1273" t="s">
        <v>223</v>
      </c>
      <c r="C90" s="1274"/>
      <c r="D90" s="1275" t="s">
        <v>531</v>
      </c>
      <c r="E90" s="1275" t="s">
        <v>531</v>
      </c>
      <c r="F90" s="1275"/>
      <c r="G90" s="1310"/>
      <c r="H90" s="1311">
        <v>4</v>
      </c>
      <c r="I90" s="656"/>
      <c r="J90" s="657"/>
      <c r="K90" s="1293"/>
      <c r="L90" s="656"/>
      <c r="M90" s="657"/>
      <c r="N90" s="1293"/>
      <c r="O90" s="656"/>
      <c r="P90" s="657"/>
      <c r="Q90" s="1293"/>
      <c r="R90" s="656"/>
      <c r="S90" s="657"/>
      <c r="T90" s="1293"/>
      <c r="U90" s="656"/>
      <c r="V90" s="657"/>
      <c r="W90" s="1293"/>
      <c r="X90" s="656"/>
      <c r="Y90" s="657"/>
      <c r="Z90" s="1293"/>
      <c r="AA90" s="656"/>
      <c r="AB90" s="657"/>
      <c r="AC90" s="1293"/>
      <c r="AD90" s="656"/>
      <c r="AE90" s="657"/>
      <c r="AF90" s="1293"/>
      <c r="AG90" s="656"/>
      <c r="AH90" s="657"/>
      <c r="AI90" s="1299">
        <v>4</v>
      </c>
      <c r="AJ90" s="1307">
        <v>85</v>
      </c>
      <c r="AK90" s="1289">
        <v>0</v>
      </c>
      <c r="AL90" s="1298">
        <v>0</v>
      </c>
      <c r="AM90" s="1289">
        <v>0</v>
      </c>
      <c r="AN90" s="1289">
        <v>0</v>
      </c>
      <c r="AO90" s="1289">
        <v>0</v>
      </c>
      <c r="AP90" s="1289">
        <v>0</v>
      </c>
      <c r="AQ90" s="1294">
        <v>0</v>
      </c>
      <c r="AR90" s="1272">
        <v>9</v>
      </c>
      <c r="AS90" s="1273" t="s">
        <v>76</v>
      </c>
      <c r="AT90" s="1274"/>
      <c r="AU90" s="1275"/>
      <c r="AV90" s="1275"/>
      <c r="AW90" s="1275"/>
      <c r="AX90" s="1310"/>
      <c r="AY90" s="1311">
        <v>0</v>
      </c>
      <c r="AZ90" s="656"/>
      <c r="BA90" s="657"/>
      <c r="BB90" s="1293"/>
      <c r="BC90" s="656"/>
      <c r="BD90" s="657"/>
      <c r="BE90" s="1293"/>
      <c r="BF90" s="656"/>
      <c r="BG90" s="657"/>
      <c r="BH90" s="1293"/>
      <c r="BI90" s="656"/>
      <c r="BJ90" s="657"/>
      <c r="BK90" s="1293"/>
      <c r="BL90" s="656"/>
      <c r="BM90" s="657"/>
      <c r="BN90" s="1293"/>
      <c r="BO90" s="656"/>
      <c r="BP90" s="657"/>
      <c r="BQ90" s="1293"/>
      <c r="BR90" s="656"/>
      <c r="BS90" s="657"/>
      <c r="BT90" s="1293"/>
      <c r="BU90" s="656"/>
      <c r="BV90" s="657"/>
      <c r="BW90" s="1293"/>
      <c r="BX90" s="656"/>
      <c r="BY90" s="657"/>
      <c r="BZ90" s="1299">
        <v>0</v>
      </c>
      <c r="CA90" s="1307">
        <v>65</v>
      </c>
    </row>
    <row r="91" spans="1:79" ht="14.25" customHeight="1">
      <c r="A91" s="1272"/>
      <c r="B91" s="1273"/>
      <c r="C91" s="1274"/>
      <c r="D91" s="1275"/>
      <c r="E91" s="1275"/>
      <c r="F91" s="1275"/>
      <c r="G91" s="1310"/>
      <c r="H91" s="1311"/>
      <c r="I91" s="656"/>
      <c r="J91" s="657"/>
      <c r="K91" s="1293"/>
      <c r="L91" s="656"/>
      <c r="M91" s="657"/>
      <c r="N91" s="1293"/>
      <c r="O91" s="656"/>
      <c r="P91" s="657"/>
      <c r="Q91" s="1293"/>
      <c r="R91" s="656"/>
      <c r="S91" s="657"/>
      <c r="T91" s="1293"/>
      <c r="U91" s="656"/>
      <c r="V91" s="657"/>
      <c r="W91" s="1293"/>
      <c r="X91" s="656"/>
      <c r="Y91" s="657"/>
      <c r="Z91" s="1293"/>
      <c r="AA91" s="656"/>
      <c r="AB91" s="657"/>
      <c r="AC91" s="1293"/>
      <c r="AD91" s="656"/>
      <c r="AE91" s="657"/>
      <c r="AF91" s="1293"/>
      <c r="AG91" s="656"/>
      <c r="AH91" s="657"/>
      <c r="AI91" s="1299"/>
      <c r="AJ91" s="1307"/>
      <c r="AK91" s="1289"/>
      <c r="AL91" s="1298"/>
      <c r="AM91" s="1289"/>
      <c r="AN91" s="1289"/>
      <c r="AO91" s="1289"/>
      <c r="AP91" s="1289"/>
      <c r="AQ91" s="1294"/>
      <c r="AR91" s="1272"/>
      <c r="AS91" s="1273"/>
      <c r="AT91" s="1274"/>
      <c r="AU91" s="1275"/>
      <c r="AV91" s="1275"/>
      <c r="AW91" s="1275"/>
      <c r="AX91" s="1310"/>
      <c r="AY91" s="1311"/>
      <c r="AZ91" s="656"/>
      <c r="BA91" s="657"/>
      <c r="BB91" s="1293"/>
      <c r="BC91" s="656"/>
      <c r="BD91" s="657"/>
      <c r="BE91" s="1293"/>
      <c r="BF91" s="656"/>
      <c r="BG91" s="657"/>
      <c r="BH91" s="1293"/>
      <c r="BI91" s="656"/>
      <c r="BJ91" s="657"/>
      <c r="BK91" s="1293"/>
      <c r="BL91" s="656"/>
      <c r="BM91" s="657"/>
      <c r="BN91" s="1293"/>
      <c r="BO91" s="656"/>
      <c r="BP91" s="657"/>
      <c r="BQ91" s="1293"/>
      <c r="BR91" s="656"/>
      <c r="BS91" s="657"/>
      <c r="BT91" s="1293"/>
      <c r="BU91" s="656"/>
      <c r="BV91" s="657"/>
      <c r="BW91" s="1293"/>
      <c r="BX91" s="656"/>
      <c r="BY91" s="657"/>
      <c r="BZ91" s="1299"/>
      <c r="CA91" s="1307"/>
    </row>
    <row r="92" spans="1:79" ht="14.25" customHeight="1">
      <c r="A92" s="1308">
        <v>10</v>
      </c>
      <c r="B92" s="1287" t="s">
        <v>59</v>
      </c>
      <c r="C92" s="1288"/>
      <c r="D92" s="1284"/>
      <c r="E92" s="1284"/>
      <c r="F92" s="1284"/>
      <c r="G92" s="1285"/>
      <c r="H92" s="1274">
        <v>0</v>
      </c>
      <c r="I92" s="176"/>
      <c r="J92" s="657"/>
      <c r="K92" s="1275"/>
      <c r="L92" s="176"/>
      <c r="M92" s="657"/>
      <c r="N92" s="1275"/>
      <c r="O92" s="176"/>
      <c r="P92" s="657"/>
      <c r="Q92" s="1275"/>
      <c r="R92" s="176"/>
      <c r="S92" s="657"/>
      <c r="T92" s="1275"/>
      <c r="U92" s="176"/>
      <c r="V92" s="657"/>
      <c r="W92" s="1275"/>
      <c r="X92" s="176"/>
      <c r="Y92" s="657"/>
      <c r="Z92" s="1275"/>
      <c r="AA92" s="176"/>
      <c r="AB92" s="657"/>
      <c r="AC92" s="1275"/>
      <c r="AD92" s="176"/>
      <c r="AE92" s="657"/>
      <c r="AF92" s="1275"/>
      <c r="AG92" s="176"/>
      <c r="AH92" s="657"/>
      <c r="AI92" s="1312">
        <v>0</v>
      </c>
      <c r="AJ92" s="1307">
        <v>85</v>
      </c>
      <c r="AK92" s="1289">
        <v>0</v>
      </c>
      <c r="AL92" s="1298">
        <v>0</v>
      </c>
      <c r="AM92" s="1289">
        <v>0</v>
      </c>
      <c r="AN92" s="1289">
        <v>0</v>
      </c>
      <c r="AO92" s="1289">
        <v>0</v>
      </c>
      <c r="AP92" s="1289">
        <v>0</v>
      </c>
      <c r="AQ92" s="1294">
        <v>0</v>
      </c>
      <c r="AR92" s="1308">
        <v>10</v>
      </c>
      <c r="AS92" s="1287" t="s">
        <v>241</v>
      </c>
      <c r="AT92" s="1288"/>
      <c r="AU92" s="1284" t="s">
        <v>531</v>
      </c>
      <c r="AV92" s="1284" t="s">
        <v>531</v>
      </c>
      <c r="AW92" s="1284"/>
      <c r="AX92" s="1285"/>
      <c r="AY92" s="1274">
        <v>5</v>
      </c>
      <c r="AZ92" s="176" t="s">
        <v>527</v>
      </c>
      <c r="BA92" s="657" t="s">
        <v>461</v>
      </c>
      <c r="BB92" s="1275">
        <v>5</v>
      </c>
      <c r="BC92" s="176" t="s">
        <v>527</v>
      </c>
      <c r="BD92" s="657" t="s">
        <v>696</v>
      </c>
      <c r="BE92" s="1275">
        <v>5</v>
      </c>
      <c r="BF92" s="176" t="s">
        <v>527</v>
      </c>
      <c r="BG92" s="657" t="s">
        <v>696</v>
      </c>
      <c r="BH92" s="1275">
        <v>4</v>
      </c>
      <c r="BI92" s="176" t="s">
        <v>696</v>
      </c>
      <c r="BJ92" s="657"/>
      <c r="BK92" s="1275"/>
      <c r="BL92" s="176"/>
      <c r="BM92" s="657"/>
      <c r="BN92" s="1275"/>
      <c r="BO92" s="176"/>
      <c r="BP92" s="657"/>
      <c r="BQ92" s="1275"/>
      <c r="BR92" s="176"/>
      <c r="BS92" s="657"/>
      <c r="BT92" s="1275"/>
      <c r="BU92" s="176"/>
      <c r="BV92" s="657"/>
      <c r="BW92" s="1275"/>
      <c r="BX92" s="176"/>
      <c r="BY92" s="657"/>
      <c r="BZ92" s="1312">
        <v>19</v>
      </c>
      <c r="CA92" s="1307">
        <v>84</v>
      </c>
    </row>
    <row r="93" spans="1:79" ht="14.25" customHeight="1">
      <c r="A93" s="1308"/>
      <c r="B93" s="1287"/>
      <c r="C93" s="1288"/>
      <c r="D93" s="1284"/>
      <c r="E93" s="1284"/>
      <c r="F93" s="1284"/>
      <c r="G93" s="1286"/>
      <c r="H93" s="1274"/>
      <c r="I93" s="176"/>
      <c r="J93" s="657"/>
      <c r="K93" s="1275"/>
      <c r="L93" s="176"/>
      <c r="M93" s="657"/>
      <c r="N93" s="1275"/>
      <c r="O93" s="176"/>
      <c r="P93" s="657"/>
      <c r="Q93" s="1275"/>
      <c r="R93" s="176"/>
      <c r="S93" s="657"/>
      <c r="T93" s="1275"/>
      <c r="U93" s="176"/>
      <c r="V93" s="657"/>
      <c r="W93" s="1275"/>
      <c r="X93" s="176"/>
      <c r="Y93" s="657"/>
      <c r="Z93" s="1275"/>
      <c r="AA93" s="176"/>
      <c r="AB93" s="657"/>
      <c r="AC93" s="1275"/>
      <c r="AD93" s="176"/>
      <c r="AE93" s="657"/>
      <c r="AF93" s="1275"/>
      <c r="AG93" s="176"/>
      <c r="AH93" s="657"/>
      <c r="AI93" s="1313"/>
      <c r="AJ93" s="1307"/>
      <c r="AK93" s="1289"/>
      <c r="AL93" s="1298"/>
      <c r="AM93" s="1289"/>
      <c r="AN93" s="1289"/>
      <c r="AO93" s="1289"/>
      <c r="AP93" s="1289"/>
      <c r="AQ93" s="1294"/>
      <c r="AR93" s="1308"/>
      <c r="AS93" s="1287"/>
      <c r="AT93" s="1288"/>
      <c r="AU93" s="1284"/>
      <c r="AV93" s="1284"/>
      <c r="AW93" s="1284"/>
      <c r="AX93" s="1286"/>
      <c r="AY93" s="1274"/>
      <c r="AZ93" s="176"/>
      <c r="BA93" s="657"/>
      <c r="BB93" s="1275"/>
      <c r="BC93" s="176"/>
      <c r="BD93" s="657"/>
      <c r="BE93" s="1275"/>
      <c r="BF93" s="176"/>
      <c r="BG93" s="657"/>
      <c r="BH93" s="1275"/>
      <c r="BI93" s="176"/>
      <c r="BJ93" s="657"/>
      <c r="BK93" s="1275"/>
      <c r="BL93" s="176"/>
      <c r="BM93" s="657"/>
      <c r="BN93" s="1275"/>
      <c r="BO93" s="176"/>
      <c r="BP93" s="657"/>
      <c r="BQ93" s="1275"/>
      <c r="BR93" s="176"/>
      <c r="BS93" s="657"/>
      <c r="BT93" s="1275"/>
      <c r="BU93" s="176"/>
      <c r="BV93" s="657"/>
      <c r="BW93" s="1275"/>
      <c r="BX93" s="176"/>
      <c r="BY93" s="657"/>
      <c r="BZ93" s="1313"/>
      <c r="CA93" s="1307"/>
    </row>
    <row r="94" spans="1:79" ht="14.25" customHeight="1">
      <c r="A94" s="1272">
        <v>11</v>
      </c>
      <c r="B94" s="1273" t="s">
        <v>59</v>
      </c>
      <c r="C94" s="1274"/>
      <c r="D94" s="1275" t="s">
        <v>531</v>
      </c>
      <c r="E94" s="1275"/>
      <c r="F94" s="1275"/>
      <c r="G94" s="1310"/>
      <c r="H94" s="1311">
        <v>5</v>
      </c>
      <c r="I94" s="656">
        <v>5</v>
      </c>
      <c r="J94" s="657" t="s">
        <v>461</v>
      </c>
      <c r="K94" s="1293">
        <v>3</v>
      </c>
      <c r="L94" s="656" t="s">
        <v>461</v>
      </c>
      <c r="M94" s="657"/>
      <c r="N94" s="1293"/>
      <c r="O94" s="656"/>
      <c r="P94" s="657"/>
      <c r="Q94" s="1293"/>
      <c r="R94" s="656"/>
      <c r="S94" s="657"/>
      <c r="T94" s="1293"/>
      <c r="U94" s="656"/>
      <c r="V94" s="657"/>
      <c r="W94" s="1293"/>
      <c r="X94" s="656"/>
      <c r="Y94" s="657"/>
      <c r="Z94" s="1293"/>
      <c r="AA94" s="656"/>
      <c r="AB94" s="657"/>
      <c r="AC94" s="1293"/>
      <c r="AD94" s="656"/>
      <c r="AE94" s="657"/>
      <c r="AF94" s="1293"/>
      <c r="AG94" s="656"/>
      <c r="AH94" s="657"/>
      <c r="AI94" s="1299">
        <v>8</v>
      </c>
      <c r="AJ94" s="1307">
        <v>93</v>
      </c>
      <c r="AK94" s="1289">
        <v>0</v>
      </c>
      <c r="AL94" s="1298">
        <v>0</v>
      </c>
      <c r="AM94" s="1289">
        <v>0</v>
      </c>
      <c r="AN94" s="1289">
        <v>0</v>
      </c>
      <c r="AO94" s="1289">
        <v>0</v>
      </c>
      <c r="AP94" s="1289">
        <v>0</v>
      </c>
      <c r="AQ94" s="1294">
        <v>0</v>
      </c>
      <c r="AR94" s="1272">
        <v>11</v>
      </c>
      <c r="AS94" s="1273" t="s">
        <v>76</v>
      </c>
      <c r="AT94" s="1274"/>
      <c r="AU94" s="1275"/>
      <c r="AV94" s="1275"/>
      <c r="AW94" s="1275"/>
      <c r="AX94" s="1310"/>
      <c r="AY94" s="1311">
        <v>0</v>
      </c>
      <c r="AZ94" s="656"/>
      <c r="BA94" s="657"/>
      <c r="BB94" s="1293"/>
      <c r="BC94" s="656"/>
      <c r="BD94" s="657"/>
      <c r="BE94" s="1293"/>
      <c r="BF94" s="656"/>
      <c r="BG94" s="657"/>
      <c r="BH94" s="1293"/>
      <c r="BI94" s="656"/>
      <c r="BJ94" s="657"/>
      <c r="BK94" s="1293"/>
      <c r="BL94" s="656"/>
      <c r="BM94" s="657"/>
      <c r="BN94" s="1293"/>
      <c r="BO94" s="656"/>
      <c r="BP94" s="657"/>
      <c r="BQ94" s="1293"/>
      <c r="BR94" s="656"/>
      <c r="BS94" s="657"/>
      <c r="BT94" s="1293"/>
      <c r="BU94" s="656"/>
      <c r="BV94" s="657"/>
      <c r="BW94" s="1293"/>
      <c r="BX94" s="656"/>
      <c r="BY94" s="657"/>
      <c r="BZ94" s="1299">
        <v>0</v>
      </c>
      <c r="CA94" s="1307">
        <v>84</v>
      </c>
    </row>
    <row r="95" spans="1:79" ht="14.25" customHeight="1">
      <c r="A95" s="1272"/>
      <c r="B95" s="1273"/>
      <c r="C95" s="1274"/>
      <c r="D95" s="1275"/>
      <c r="E95" s="1275"/>
      <c r="F95" s="1275"/>
      <c r="G95" s="1310"/>
      <c r="H95" s="1311"/>
      <c r="I95" s="656"/>
      <c r="J95" s="657"/>
      <c r="K95" s="1293"/>
      <c r="L95" s="656"/>
      <c r="M95" s="657"/>
      <c r="N95" s="1293"/>
      <c r="O95" s="656"/>
      <c r="P95" s="657"/>
      <c r="Q95" s="1293"/>
      <c r="R95" s="656"/>
      <c r="S95" s="657"/>
      <c r="T95" s="1293"/>
      <c r="U95" s="656"/>
      <c r="V95" s="657"/>
      <c r="W95" s="1293"/>
      <c r="X95" s="656"/>
      <c r="Y95" s="657"/>
      <c r="Z95" s="1293"/>
      <c r="AA95" s="656"/>
      <c r="AB95" s="657"/>
      <c r="AC95" s="1293"/>
      <c r="AD95" s="656"/>
      <c r="AE95" s="657"/>
      <c r="AF95" s="1293"/>
      <c r="AG95" s="656"/>
      <c r="AH95" s="657"/>
      <c r="AI95" s="1299"/>
      <c r="AJ95" s="1307"/>
      <c r="AK95" s="1289"/>
      <c r="AL95" s="1298"/>
      <c r="AM95" s="1289"/>
      <c r="AN95" s="1289"/>
      <c r="AO95" s="1289"/>
      <c r="AP95" s="1289"/>
      <c r="AQ95" s="1294"/>
      <c r="AR95" s="1272"/>
      <c r="AS95" s="1273"/>
      <c r="AT95" s="1274"/>
      <c r="AU95" s="1275"/>
      <c r="AV95" s="1275"/>
      <c r="AW95" s="1275"/>
      <c r="AX95" s="1310"/>
      <c r="AY95" s="1311"/>
      <c r="AZ95" s="656"/>
      <c r="BA95" s="657"/>
      <c r="BB95" s="1293"/>
      <c r="BC95" s="656"/>
      <c r="BD95" s="657"/>
      <c r="BE95" s="1293"/>
      <c r="BF95" s="656"/>
      <c r="BG95" s="657"/>
      <c r="BH95" s="1293"/>
      <c r="BI95" s="656"/>
      <c r="BJ95" s="657"/>
      <c r="BK95" s="1293"/>
      <c r="BL95" s="656"/>
      <c r="BM95" s="657"/>
      <c r="BN95" s="1293"/>
      <c r="BO95" s="656"/>
      <c r="BP95" s="657"/>
      <c r="BQ95" s="1293"/>
      <c r="BR95" s="656"/>
      <c r="BS95" s="657"/>
      <c r="BT95" s="1293"/>
      <c r="BU95" s="656"/>
      <c r="BV95" s="657"/>
      <c r="BW95" s="1293"/>
      <c r="BX95" s="656"/>
      <c r="BY95" s="657"/>
      <c r="BZ95" s="1299"/>
      <c r="CA95" s="1307"/>
    </row>
    <row r="96" spans="1:79" ht="14.25" customHeight="1">
      <c r="A96" s="1308">
        <v>12</v>
      </c>
      <c r="B96" s="1287" t="s">
        <v>223</v>
      </c>
      <c r="C96" s="1288"/>
      <c r="D96" s="1284"/>
      <c r="E96" s="1284"/>
      <c r="F96" s="1284"/>
      <c r="G96" s="1285"/>
      <c r="H96" s="1274">
        <v>0</v>
      </c>
      <c r="I96" s="176"/>
      <c r="J96" s="657"/>
      <c r="K96" s="1275"/>
      <c r="L96" s="176"/>
      <c r="M96" s="657"/>
      <c r="N96" s="1275"/>
      <c r="O96" s="176"/>
      <c r="P96" s="657"/>
      <c r="Q96" s="1275"/>
      <c r="R96" s="176"/>
      <c r="S96" s="657"/>
      <c r="T96" s="1275"/>
      <c r="U96" s="176"/>
      <c r="V96" s="657"/>
      <c r="W96" s="1275"/>
      <c r="X96" s="176"/>
      <c r="Y96" s="657"/>
      <c r="Z96" s="1275"/>
      <c r="AA96" s="176"/>
      <c r="AB96" s="657"/>
      <c r="AC96" s="1275"/>
      <c r="AD96" s="176"/>
      <c r="AE96" s="657"/>
      <c r="AF96" s="1275"/>
      <c r="AG96" s="176"/>
      <c r="AH96" s="657"/>
      <c r="AI96" s="1312">
        <v>0</v>
      </c>
      <c r="AJ96" s="1307">
        <v>93</v>
      </c>
      <c r="AK96" s="1289">
        <v>0</v>
      </c>
      <c r="AL96" s="1298">
        <v>0</v>
      </c>
      <c r="AM96" s="1289">
        <v>0</v>
      </c>
      <c r="AN96" s="1289">
        <v>0</v>
      </c>
      <c r="AO96" s="1289">
        <v>0</v>
      </c>
      <c r="AP96" s="1289">
        <v>0</v>
      </c>
      <c r="AQ96" s="1294">
        <v>0</v>
      </c>
      <c r="AR96" s="1308">
        <v>12</v>
      </c>
      <c r="AS96" s="1287" t="s">
        <v>239</v>
      </c>
      <c r="AT96" s="1288"/>
      <c r="AU96" s="1284" t="s">
        <v>531</v>
      </c>
      <c r="AV96" s="1284" t="s">
        <v>531</v>
      </c>
      <c r="AW96" s="1284"/>
      <c r="AX96" s="1285"/>
      <c r="AY96" s="1274">
        <v>0</v>
      </c>
      <c r="AZ96" s="176"/>
      <c r="BA96" s="657"/>
      <c r="BB96" s="1275"/>
      <c r="BC96" s="176"/>
      <c r="BD96" s="657"/>
      <c r="BE96" s="1275"/>
      <c r="BF96" s="176"/>
      <c r="BG96" s="657"/>
      <c r="BH96" s="1275"/>
      <c r="BI96" s="176"/>
      <c r="BJ96" s="657"/>
      <c r="BK96" s="1275"/>
      <c r="BL96" s="176"/>
      <c r="BM96" s="657"/>
      <c r="BN96" s="1275"/>
      <c r="BO96" s="176"/>
      <c r="BP96" s="657"/>
      <c r="BQ96" s="1275"/>
      <c r="BR96" s="176"/>
      <c r="BS96" s="657"/>
      <c r="BT96" s="1275"/>
      <c r="BU96" s="176"/>
      <c r="BV96" s="657"/>
      <c r="BW96" s="1275"/>
      <c r="BX96" s="176"/>
      <c r="BY96" s="657"/>
      <c r="BZ96" s="1312">
        <v>0</v>
      </c>
      <c r="CA96" s="1307">
        <v>84</v>
      </c>
    </row>
    <row r="97" spans="1:79" ht="14.25" customHeight="1">
      <c r="A97" s="1308"/>
      <c r="B97" s="1287"/>
      <c r="C97" s="1288"/>
      <c r="D97" s="1284"/>
      <c r="E97" s="1284"/>
      <c r="F97" s="1284"/>
      <c r="G97" s="1286"/>
      <c r="H97" s="1274"/>
      <c r="I97" s="176"/>
      <c r="J97" s="657"/>
      <c r="K97" s="1275"/>
      <c r="L97" s="176"/>
      <c r="M97" s="657"/>
      <c r="N97" s="1275"/>
      <c r="O97" s="176"/>
      <c r="P97" s="657"/>
      <c r="Q97" s="1275"/>
      <c r="R97" s="176"/>
      <c r="S97" s="657"/>
      <c r="T97" s="1275"/>
      <c r="U97" s="176"/>
      <c r="V97" s="657"/>
      <c r="W97" s="1275"/>
      <c r="X97" s="176"/>
      <c r="Y97" s="657"/>
      <c r="Z97" s="1275"/>
      <c r="AA97" s="176"/>
      <c r="AB97" s="657"/>
      <c r="AC97" s="1275"/>
      <c r="AD97" s="176"/>
      <c r="AE97" s="657"/>
      <c r="AF97" s="1275"/>
      <c r="AG97" s="176"/>
      <c r="AH97" s="657"/>
      <c r="AI97" s="1313"/>
      <c r="AJ97" s="1307"/>
      <c r="AK97" s="1289"/>
      <c r="AL97" s="1298"/>
      <c r="AM97" s="1289"/>
      <c r="AN97" s="1289"/>
      <c r="AO97" s="1289"/>
      <c r="AP97" s="1289"/>
      <c r="AQ97" s="1294"/>
      <c r="AR97" s="1308"/>
      <c r="AS97" s="1287"/>
      <c r="AT97" s="1288"/>
      <c r="AU97" s="1284"/>
      <c r="AV97" s="1284"/>
      <c r="AW97" s="1284"/>
      <c r="AX97" s="1286"/>
      <c r="AY97" s="1274"/>
      <c r="AZ97" s="176"/>
      <c r="BA97" s="657"/>
      <c r="BB97" s="1275"/>
      <c r="BC97" s="176"/>
      <c r="BD97" s="657"/>
      <c r="BE97" s="1275"/>
      <c r="BF97" s="176"/>
      <c r="BG97" s="657"/>
      <c r="BH97" s="1275"/>
      <c r="BI97" s="176"/>
      <c r="BJ97" s="657"/>
      <c r="BK97" s="1275"/>
      <c r="BL97" s="176"/>
      <c r="BM97" s="657"/>
      <c r="BN97" s="1275"/>
      <c r="BO97" s="176"/>
      <c r="BP97" s="657"/>
      <c r="BQ97" s="1275"/>
      <c r="BR97" s="176"/>
      <c r="BS97" s="657"/>
      <c r="BT97" s="1275"/>
      <c r="BU97" s="176"/>
      <c r="BV97" s="657"/>
      <c r="BW97" s="1275"/>
      <c r="BX97" s="176"/>
      <c r="BY97" s="657"/>
      <c r="BZ97" s="1313"/>
      <c r="CA97" s="1307"/>
    </row>
    <row r="98" spans="1:79" ht="14.25" customHeight="1">
      <c r="A98" s="1272">
        <v>13</v>
      </c>
      <c r="B98" s="1273" t="s">
        <v>57</v>
      </c>
      <c r="C98" s="1274"/>
      <c r="D98" s="1275" t="s">
        <v>531</v>
      </c>
      <c r="E98" s="1275" t="s">
        <v>531</v>
      </c>
      <c r="F98" s="1275"/>
      <c r="G98" s="1310"/>
      <c r="H98" s="1311">
        <v>5</v>
      </c>
      <c r="I98" s="656" t="s">
        <v>696</v>
      </c>
      <c r="J98" s="657"/>
      <c r="K98" s="1293">
        <v>5</v>
      </c>
      <c r="L98" s="656" t="s">
        <v>696</v>
      </c>
      <c r="M98" s="657"/>
      <c r="N98" s="1293"/>
      <c r="O98" s="656"/>
      <c r="P98" s="657"/>
      <c r="Q98" s="1293"/>
      <c r="R98" s="656"/>
      <c r="S98" s="657"/>
      <c r="T98" s="1293"/>
      <c r="U98" s="656"/>
      <c r="V98" s="657"/>
      <c r="W98" s="1293"/>
      <c r="X98" s="656"/>
      <c r="Y98" s="657"/>
      <c r="Z98" s="1293"/>
      <c r="AA98" s="656"/>
      <c r="AB98" s="657"/>
      <c r="AC98" s="1293"/>
      <c r="AD98" s="656"/>
      <c r="AE98" s="657"/>
      <c r="AF98" s="1293"/>
      <c r="AG98" s="656"/>
      <c r="AH98" s="657"/>
      <c r="AI98" s="1299">
        <v>10</v>
      </c>
      <c r="AJ98" s="1307">
        <v>103</v>
      </c>
      <c r="AK98" s="1289">
        <v>0</v>
      </c>
      <c r="AL98" s="1298">
        <v>0</v>
      </c>
      <c r="AM98" s="1289">
        <v>0</v>
      </c>
      <c r="AN98" s="1289">
        <v>0</v>
      </c>
      <c r="AO98" s="1289">
        <v>0</v>
      </c>
      <c r="AP98" s="1289">
        <v>0</v>
      </c>
      <c r="AQ98" s="1294">
        <v>0</v>
      </c>
      <c r="AR98" s="1272">
        <v>13</v>
      </c>
      <c r="AS98" s="1273" t="s">
        <v>241</v>
      </c>
      <c r="AT98" s="1274"/>
      <c r="AU98" s="1275"/>
      <c r="AV98" s="1275"/>
      <c r="AW98" s="1275"/>
      <c r="AX98" s="1310"/>
      <c r="AY98" s="1311">
        <v>0</v>
      </c>
      <c r="AZ98" s="656"/>
      <c r="BA98" s="657"/>
      <c r="BB98" s="1293"/>
      <c r="BC98" s="656"/>
      <c r="BD98" s="657"/>
      <c r="BE98" s="1293"/>
      <c r="BF98" s="656"/>
      <c r="BG98" s="657"/>
      <c r="BH98" s="1293"/>
      <c r="BI98" s="656"/>
      <c r="BJ98" s="657"/>
      <c r="BK98" s="1293"/>
      <c r="BL98" s="656"/>
      <c r="BM98" s="657"/>
      <c r="BN98" s="1293"/>
      <c r="BO98" s="656"/>
      <c r="BP98" s="657"/>
      <c r="BQ98" s="1293"/>
      <c r="BR98" s="656"/>
      <c r="BS98" s="657"/>
      <c r="BT98" s="1293"/>
      <c r="BU98" s="656"/>
      <c r="BV98" s="657"/>
      <c r="BW98" s="1293"/>
      <c r="BX98" s="656"/>
      <c r="BY98" s="657"/>
      <c r="BZ98" s="1299">
        <v>0</v>
      </c>
      <c r="CA98" s="1307">
        <v>84</v>
      </c>
    </row>
    <row r="99" spans="1:79" ht="14.25" customHeight="1">
      <c r="A99" s="1272"/>
      <c r="B99" s="1273"/>
      <c r="C99" s="1274"/>
      <c r="D99" s="1275"/>
      <c r="E99" s="1275"/>
      <c r="F99" s="1275"/>
      <c r="G99" s="1310"/>
      <c r="H99" s="1311"/>
      <c r="I99" s="656"/>
      <c r="J99" s="657"/>
      <c r="K99" s="1293"/>
      <c r="L99" s="656"/>
      <c r="M99" s="657"/>
      <c r="N99" s="1293"/>
      <c r="O99" s="656"/>
      <c r="P99" s="657"/>
      <c r="Q99" s="1293"/>
      <c r="R99" s="656"/>
      <c r="S99" s="657"/>
      <c r="T99" s="1293"/>
      <c r="U99" s="656"/>
      <c r="V99" s="657"/>
      <c r="W99" s="1293"/>
      <c r="X99" s="656"/>
      <c r="Y99" s="657"/>
      <c r="Z99" s="1293"/>
      <c r="AA99" s="656"/>
      <c r="AB99" s="657"/>
      <c r="AC99" s="1293"/>
      <c r="AD99" s="656"/>
      <c r="AE99" s="657"/>
      <c r="AF99" s="1293"/>
      <c r="AG99" s="656"/>
      <c r="AH99" s="657"/>
      <c r="AI99" s="1299"/>
      <c r="AJ99" s="1307"/>
      <c r="AK99" s="1289"/>
      <c r="AL99" s="1298"/>
      <c r="AM99" s="1289"/>
      <c r="AN99" s="1289"/>
      <c r="AO99" s="1289"/>
      <c r="AP99" s="1289"/>
      <c r="AQ99" s="1294"/>
      <c r="AR99" s="1272"/>
      <c r="AS99" s="1273"/>
      <c r="AT99" s="1274"/>
      <c r="AU99" s="1275"/>
      <c r="AV99" s="1275"/>
      <c r="AW99" s="1275"/>
      <c r="AX99" s="1310"/>
      <c r="AY99" s="1311"/>
      <c r="AZ99" s="656"/>
      <c r="BA99" s="657"/>
      <c r="BB99" s="1293"/>
      <c r="BC99" s="656"/>
      <c r="BD99" s="657"/>
      <c r="BE99" s="1293"/>
      <c r="BF99" s="656"/>
      <c r="BG99" s="657"/>
      <c r="BH99" s="1293"/>
      <c r="BI99" s="656"/>
      <c r="BJ99" s="657"/>
      <c r="BK99" s="1293"/>
      <c r="BL99" s="656"/>
      <c r="BM99" s="657"/>
      <c r="BN99" s="1293"/>
      <c r="BO99" s="656"/>
      <c r="BP99" s="657"/>
      <c r="BQ99" s="1293"/>
      <c r="BR99" s="656"/>
      <c r="BS99" s="657"/>
      <c r="BT99" s="1293"/>
      <c r="BU99" s="656"/>
      <c r="BV99" s="657"/>
      <c r="BW99" s="1293"/>
      <c r="BX99" s="656"/>
      <c r="BY99" s="657"/>
      <c r="BZ99" s="1299"/>
      <c r="CA99" s="1307"/>
    </row>
    <row r="100" spans="1:79" ht="14.25" customHeight="1">
      <c r="A100" s="1308">
        <v>14</v>
      </c>
      <c r="B100" s="1287" t="s">
        <v>59</v>
      </c>
      <c r="C100" s="1288"/>
      <c r="D100" s="1284" t="s">
        <v>531</v>
      </c>
      <c r="E100" s="1284" t="s">
        <v>531</v>
      </c>
      <c r="F100" s="1284"/>
      <c r="G100" s="1285"/>
      <c r="H100" s="1274">
        <v>2</v>
      </c>
      <c r="I100" s="176"/>
      <c r="J100" s="657"/>
      <c r="K100" s="1275"/>
      <c r="L100" s="176"/>
      <c r="M100" s="657"/>
      <c r="N100" s="1275"/>
      <c r="O100" s="176"/>
      <c r="P100" s="657"/>
      <c r="Q100" s="1275"/>
      <c r="R100" s="176"/>
      <c r="S100" s="657"/>
      <c r="T100" s="1275"/>
      <c r="U100" s="176"/>
      <c r="V100" s="657"/>
      <c r="W100" s="1275"/>
      <c r="X100" s="176"/>
      <c r="Y100" s="657"/>
      <c r="Z100" s="1275"/>
      <c r="AA100" s="176"/>
      <c r="AB100" s="657"/>
      <c r="AC100" s="1275"/>
      <c r="AD100" s="176"/>
      <c r="AE100" s="657"/>
      <c r="AF100" s="1275"/>
      <c r="AG100" s="176"/>
      <c r="AH100" s="657"/>
      <c r="AI100" s="1312">
        <v>2</v>
      </c>
      <c r="AJ100" s="1307">
        <v>105</v>
      </c>
      <c r="AK100" s="1289">
        <v>0</v>
      </c>
      <c r="AL100" s="1298">
        <v>0</v>
      </c>
      <c r="AM100" s="1289">
        <v>0</v>
      </c>
      <c r="AN100" s="1289">
        <v>0</v>
      </c>
      <c r="AO100" s="1289">
        <v>0</v>
      </c>
      <c r="AP100" s="1289">
        <v>0</v>
      </c>
      <c r="AQ100" s="1294">
        <v>0</v>
      </c>
      <c r="AR100" s="1308">
        <v>14</v>
      </c>
      <c r="AS100" s="1287" t="s">
        <v>241</v>
      </c>
      <c r="AT100" s="1288"/>
      <c r="AU100" s="1284"/>
      <c r="AV100" s="1284"/>
      <c r="AW100" s="1284"/>
      <c r="AX100" s="1285"/>
      <c r="AY100" s="1274">
        <v>1</v>
      </c>
      <c r="AZ100" s="176"/>
      <c r="BA100" s="657"/>
      <c r="BB100" s="1275"/>
      <c r="BC100" s="176"/>
      <c r="BD100" s="657"/>
      <c r="BE100" s="1275"/>
      <c r="BF100" s="176"/>
      <c r="BG100" s="657"/>
      <c r="BH100" s="1275"/>
      <c r="BI100" s="176"/>
      <c r="BJ100" s="657"/>
      <c r="BK100" s="1275"/>
      <c r="BL100" s="176"/>
      <c r="BM100" s="657"/>
      <c r="BN100" s="1275"/>
      <c r="BO100" s="176"/>
      <c r="BP100" s="657"/>
      <c r="BQ100" s="1275"/>
      <c r="BR100" s="176"/>
      <c r="BS100" s="657"/>
      <c r="BT100" s="1275"/>
      <c r="BU100" s="176"/>
      <c r="BV100" s="657"/>
      <c r="BW100" s="1275"/>
      <c r="BX100" s="176"/>
      <c r="BY100" s="657"/>
      <c r="BZ100" s="1312">
        <v>1</v>
      </c>
      <c r="CA100" s="1307">
        <v>85</v>
      </c>
    </row>
    <row r="101" spans="1:79" ht="14.25" customHeight="1">
      <c r="A101" s="1308"/>
      <c r="B101" s="1287"/>
      <c r="C101" s="1288"/>
      <c r="D101" s="1284"/>
      <c r="E101" s="1284"/>
      <c r="F101" s="1284"/>
      <c r="G101" s="1286"/>
      <c r="H101" s="1274"/>
      <c r="I101" s="176"/>
      <c r="J101" s="657"/>
      <c r="K101" s="1275"/>
      <c r="L101" s="176"/>
      <c r="M101" s="657"/>
      <c r="N101" s="1275"/>
      <c r="O101" s="176"/>
      <c r="P101" s="657"/>
      <c r="Q101" s="1275"/>
      <c r="R101" s="176"/>
      <c r="S101" s="657"/>
      <c r="T101" s="1275"/>
      <c r="U101" s="176"/>
      <c r="V101" s="657"/>
      <c r="W101" s="1275"/>
      <c r="X101" s="176"/>
      <c r="Y101" s="657"/>
      <c r="Z101" s="1275"/>
      <c r="AA101" s="176"/>
      <c r="AB101" s="657"/>
      <c r="AC101" s="1275"/>
      <c r="AD101" s="176"/>
      <c r="AE101" s="657"/>
      <c r="AF101" s="1275"/>
      <c r="AG101" s="176"/>
      <c r="AH101" s="657"/>
      <c r="AI101" s="1313"/>
      <c r="AJ101" s="1307"/>
      <c r="AK101" s="1289"/>
      <c r="AL101" s="1298"/>
      <c r="AM101" s="1289"/>
      <c r="AN101" s="1289"/>
      <c r="AO101" s="1289"/>
      <c r="AP101" s="1289"/>
      <c r="AQ101" s="1294"/>
      <c r="AR101" s="1308"/>
      <c r="AS101" s="1287"/>
      <c r="AT101" s="1288"/>
      <c r="AU101" s="1284"/>
      <c r="AV101" s="1284"/>
      <c r="AW101" s="1284"/>
      <c r="AX101" s="1286"/>
      <c r="AY101" s="1274"/>
      <c r="AZ101" s="176"/>
      <c r="BA101" s="657"/>
      <c r="BB101" s="1275"/>
      <c r="BC101" s="176"/>
      <c r="BD101" s="657"/>
      <c r="BE101" s="1275"/>
      <c r="BF101" s="176"/>
      <c r="BG101" s="657"/>
      <c r="BH101" s="1275"/>
      <c r="BI101" s="176"/>
      <c r="BJ101" s="657"/>
      <c r="BK101" s="1275"/>
      <c r="BL101" s="176"/>
      <c r="BM101" s="657"/>
      <c r="BN101" s="1275"/>
      <c r="BO101" s="176"/>
      <c r="BP101" s="657"/>
      <c r="BQ101" s="1275"/>
      <c r="BR101" s="176"/>
      <c r="BS101" s="657"/>
      <c r="BT101" s="1275"/>
      <c r="BU101" s="176"/>
      <c r="BV101" s="657"/>
      <c r="BW101" s="1275"/>
      <c r="BX101" s="176"/>
      <c r="BY101" s="657"/>
      <c r="BZ101" s="1313"/>
      <c r="CA101" s="1307"/>
    </row>
    <row r="102" spans="1:79" ht="14.25" customHeight="1">
      <c r="A102" s="1272">
        <v>15</v>
      </c>
      <c r="B102" s="1273" t="s">
        <v>57</v>
      </c>
      <c r="C102" s="1274"/>
      <c r="D102" s="1275"/>
      <c r="E102" s="1275"/>
      <c r="F102" s="1275"/>
      <c r="G102" s="1310"/>
      <c r="H102" s="1311">
        <v>4</v>
      </c>
      <c r="I102" s="656" t="s">
        <v>461</v>
      </c>
      <c r="J102" s="657"/>
      <c r="K102" s="1293">
        <v>5</v>
      </c>
      <c r="L102" s="656" t="s">
        <v>527</v>
      </c>
      <c r="M102" s="657" t="s">
        <v>461</v>
      </c>
      <c r="N102" s="1293">
        <v>4</v>
      </c>
      <c r="O102" s="656" t="s">
        <v>527</v>
      </c>
      <c r="P102" s="657"/>
      <c r="Q102" s="1293"/>
      <c r="R102" s="656"/>
      <c r="S102" s="657"/>
      <c r="T102" s="1293"/>
      <c r="U102" s="656"/>
      <c r="V102" s="657"/>
      <c r="W102" s="1293"/>
      <c r="X102" s="656"/>
      <c r="Y102" s="657"/>
      <c r="Z102" s="1293"/>
      <c r="AA102" s="656"/>
      <c r="AB102" s="657"/>
      <c r="AC102" s="1293"/>
      <c r="AD102" s="656"/>
      <c r="AE102" s="657"/>
      <c r="AF102" s="1293"/>
      <c r="AG102" s="656"/>
      <c r="AH102" s="657"/>
      <c r="AI102" s="1299">
        <v>13</v>
      </c>
      <c r="AJ102" s="1307">
        <v>118</v>
      </c>
      <c r="AK102" s="1289">
        <v>0</v>
      </c>
      <c r="AL102" s="1298">
        <v>0</v>
      </c>
      <c r="AM102" s="1289">
        <v>0</v>
      </c>
      <c r="AN102" s="1289">
        <v>0</v>
      </c>
      <c r="AO102" s="1289">
        <v>0</v>
      </c>
      <c r="AP102" s="1289">
        <v>0</v>
      </c>
      <c r="AQ102" s="1294">
        <v>0</v>
      </c>
      <c r="AR102" s="1272">
        <v>15</v>
      </c>
      <c r="AS102" s="1273" t="s">
        <v>74</v>
      </c>
      <c r="AT102" s="1274" t="s">
        <v>531</v>
      </c>
      <c r="AU102" s="1275" t="s">
        <v>531</v>
      </c>
      <c r="AV102" s="1275"/>
      <c r="AW102" s="1275"/>
      <c r="AX102" s="1310" t="s">
        <v>531</v>
      </c>
      <c r="AY102" s="1311" t="s">
        <v>699</v>
      </c>
      <c r="AZ102" s="656"/>
      <c r="BA102" s="657"/>
      <c r="BB102" s="1293"/>
      <c r="BC102" s="656"/>
      <c r="BD102" s="657"/>
      <c r="BE102" s="1293"/>
      <c r="BF102" s="656"/>
      <c r="BG102" s="657"/>
      <c r="BH102" s="1293"/>
      <c r="BI102" s="656"/>
      <c r="BJ102" s="657"/>
      <c r="BK102" s="1293"/>
      <c r="BL102" s="656"/>
      <c r="BM102" s="657"/>
      <c r="BN102" s="1293"/>
      <c r="BO102" s="656"/>
      <c r="BP102" s="657"/>
      <c r="BQ102" s="1293"/>
      <c r="BR102" s="656"/>
      <c r="BS102" s="657"/>
      <c r="BT102" s="1293"/>
      <c r="BU102" s="656"/>
      <c r="BV102" s="657"/>
      <c r="BW102" s="1293"/>
      <c r="BX102" s="656"/>
      <c r="BY102" s="657"/>
      <c r="BZ102" s="1299">
        <v>0</v>
      </c>
      <c r="CA102" s="1307">
        <v>85</v>
      </c>
    </row>
    <row r="103" spans="1:79" ht="14.25" customHeight="1">
      <c r="A103" s="1272"/>
      <c r="B103" s="1273"/>
      <c r="C103" s="1274"/>
      <c r="D103" s="1275"/>
      <c r="E103" s="1275"/>
      <c r="F103" s="1275"/>
      <c r="G103" s="1310"/>
      <c r="H103" s="1311"/>
      <c r="I103" s="656"/>
      <c r="J103" s="657"/>
      <c r="K103" s="1293"/>
      <c r="L103" s="656"/>
      <c r="M103" s="657"/>
      <c r="N103" s="1293"/>
      <c r="O103" s="656"/>
      <c r="P103" s="657"/>
      <c r="Q103" s="1293"/>
      <c r="R103" s="656"/>
      <c r="S103" s="657"/>
      <c r="T103" s="1293"/>
      <c r="U103" s="656"/>
      <c r="V103" s="657"/>
      <c r="W103" s="1293"/>
      <c r="X103" s="656"/>
      <c r="Y103" s="657"/>
      <c r="Z103" s="1293"/>
      <c r="AA103" s="656"/>
      <c r="AB103" s="657"/>
      <c r="AC103" s="1293"/>
      <c r="AD103" s="656"/>
      <c r="AE103" s="657"/>
      <c r="AF103" s="1293"/>
      <c r="AG103" s="656"/>
      <c r="AH103" s="657"/>
      <c r="AI103" s="1299"/>
      <c r="AJ103" s="1307"/>
      <c r="AK103" s="1289"/>
      <c r="AL103" s="1298"/>
      <c r="AM103" s="1289"/>
      <c r="AN103" s="1289"/>
      <c r="AO103" s="1289"/>
      <c r="AP103" s="1289"/>
      <c r="AQ103" s="1294"/>
      <c r="AR103" s="1272"/>
      <c r="AS103" s="1273"/>
      <c r="AT103" s="1274"/>
      <c r="AU103" s="1275"/>
      <c r="AV103" s="1275"/>
      <c r="AW103" s="1275"/>
      <c r="AX103" s="1310"/>
      <c r="AY103" s="1311"/>
      <c r="AZ103" s="656"/>
      <c r="BA103" s="657"/>
      <c r="BB103" s="1293"/>
      <c r="BC103" s="656"/>
      <c r="BD103" s="657"/>
      <c r="BE103" s="1293"/>
      <c r="BF103" s="656"/>
      <c r="BG103" s="657"/>
      <c r="BH103" s="1293"/>
      <c r="BI103" s="656"/>
      <c r="BJ103" s="657"/>
      <c r="BK103" s="1293"/>
      <c r="BL103" s="656"/>
      <c r="BM103" s="657"/>
      <c r="BN103" s="1293"/>
      <c r="BO103" s="656"/>
      <c r="BP103" s="657"/>
      <c r="BQ103" s="1293"/>
      <c r="BR103" s="656"/>
      <c r="BS103" s="657"/>
      <c r="BT103" s="1293"/>
      <c r="BU103" s="656"/>
      <c r="BV103" s="657"/>
      <c r="BW103" s="1293"/>
      <c r="BX103" s="656"/>
      <c r="BY103" s="657"/>
      <c r="BZ103" s="1299"/>
      <c r="CA103" s="1307"/>
    </row>
    <row r="104" spans="1:79" ht="14.25" customHeight="1">
      <c r="A104" s="1308" t="s">
        <v>234</v>
      </c>
      <c r="B104" s="1287"/>
      <c r="C104" s="1288"/>
      <c r="D104" s="1284"/>
      <c r="E104" s="1284"/>
      <c r="F104" s="1284"/>
      <c r="G104" s="1285"/>
      <c r="H104" s="1274"/>
      <c r="I104" s="176"/>
      <c r="J104" s="657"/>
      <c r="K104" s="1275"/>
      <c r="L104" s="176"/>
      <c r="M104" s="657"/>
      <c r="N104" s="1275"/>
      <c r="O104" s="176"/>
      <c r="P104" s="657"/>
      <c r="Q104" s="1275"/>
      <c r="R104" s="176"/>
      <c r="S104" s="657"/>
      <c r="T104" s="1275"/>
      <c r="U104" s="176"/>
      <c r="V104" s="657"/>
      <c r="W104" s="1275"/>
      <c r="X104" s="176"/>
      <c r="Y104" s="657"/>
      <c r="Z104" s="1275"/>
      <c r="AA104" s="176"/>
      <c r="AB104" s="657"/>
      <c r="AC104" s="1275"/>
      <c r="AD104" s="176"/>
      <c r="AE104" s="657"/>
      <c r="AF104" s="1275"/>
      <c r="AG104" s="176"/>
      <c r="AH104" s="657"/>
      <c r="AI104" s="1312" t="s">
        <v>446</v>
      </c>
      <c r="AJ104" s="1307" t="s">
        <v>446</v>
      </c>
      <c r="AK104" s="1289">
        <v>0</v>
      </c>
      <c r="AL104" s="1298">
        <v>0</v>
      </c>
      <c r="AM104" s="1289">
        <v>0</v>
      </c>
      <c r="AN104" s="1289">
        <v>0</v>
      </c>
      <c r="AO104" s="1289">
        <v>0</v>
      </c>
      <c r="AP104" s="1289">
        <v>0</v>
      </c>
      <c r="AQ104" s="1294">
        <v>0</v>
      </c>
      <c r="AR104" s="1308" t="s">
        <v>234</v>
      </c>
      <c r="AS104" s="1287" t="s">
        <v>113</v>
      </c>
      <c r="AT104" s="1288"/>
      <c r="AU104" s="1284"/>
      <c r="AV104" s="1284"/>
      <c r="AW104" s="1284"/>
      <c r="AX104" s="1285"/>
      <c r="AY104" s="1274">
        <v>1</v>
      </c>
      <c r="AZ104" s="176"/>
      <c r="BA104" s="657"/>
      <c r="BB104" s="1275"/>
      <c r="BC104" s="176"/>
      <c r="BD104" s="657"/>
      <c r="BE104" s="1275"/>
      <c r="BF104" s="176"/>
      <c r="BG104" s="657"/>
      <c r="BH104" s="1275"/>
      <c r="BI104" s="176"/>
      <c r="BJ104" s="657"/>
      <c r="BK104" s="1275"/>
      <c r="BL104" s="176"/>
      <c r="BM104" s="657"/>
      <c r="BN104" s="1275"/>
      <c r="BO104" s="176"/>
      <c r="BP104" s="657"/>
      <c r="BQ104" s="1275"/>
      <c r="BR104" s="176"/>
      <c r="BS104" s="657"/>
      <c r="BT104" s="1275"/>
      <c r="BU104" s="176"/>
      <c r="BV104" s="657"/>
      <c r="BW104" s="1275"/>
      <c r="BX104" s="176"/>
      <c r="BY104" s="657"/>
      <c r="BZ104" s="1312">
        <v>1</v>
      </c>
      <c r="CA104" s="1307">
        <v>86</v>
      </c>
    </row>
    <row r="105" spans="1:79" ht="14.25" customHeight="1">
      <c r="A105" s="1308"/>
      <c r="B105" s="1287"/>
      <c r="C105" s="1288"/>
      <c r="D105" s="1284"/>
      <c r="E105" s="1284"/>
      <c r="F105" s="1284"/>
      <c r="G105" s="1286"/>
      <c r="H105" s="1274"/>
      <c r="I105" s="176"/>
      <c r="J105" s="657"/>
      <c r="K105" s="1275"/>
      <c r="L105" s="176"/>
      <c r="M105" s="657"/>
      <c r="N105" s="1275"/>
      <c r="O105" s="176"/>
      <c r="P105" s="657"/>
      <c r="Q105" s="1275"/>
      <c r="R105" s="176"/>
      <c r="S105" s="657"/>
      <c r="T105" s="1275"/>
      <c r="U105" s="176"/>
      <c r="V105" s="657"/>
      <c r="W105" s="1275"/>
      <c r="X105" s="176"/>
      <c r="Y105" s="657"/>
      <c r="Z105" s="1275"/>
      <c r="AA105" s="176"/>
      <c r="AB105" s="657"/>
      <c r="AC105" s="1275"/>
      <c r="AD105" s="176"/>
      <c r="AE105" s="657"/>
      <c r="AF105" s="1275"/>
      <c r="AG105" s="176"/>
      <c r="AH105" s="657"/>
      <c r="AI105" s="1313"/>
      <c r="AJ105" s="1307"/>
      <c r="AK105" s="1289"/>
      <c r="AL105" s="1298"/>
      <c r="AM105" s="1289"/>
      <c r="AN105" s="1289"/>
      <c r="AO105" s="1289"/>
      <c r="AP105" s="1289"/>
      <c r="AQ105" s="1294"/>
      <c r="AR105" s="1308"/>
      <c r="AS105" s="1287"/>
      <c r="AT105" s="1288"/>
      <c r="AU105" s="1284"/>
      <c r="AV105" s="1284"/>
      <c r="AW105" s="1284"/>
      <c r="AX105" s="1286"/>
      <c r="AY105" s="1274"/>
      <c r="AZ105" s="176"/>
      <c r="BA105" s="657"/>
      <c r="BB105" s="1275"/>
      <c r="BC105" s="176"/>
      <c r="BD105" s="657"/>
      <c r="BE105" s="1275"/>
      <c r="BF105" s="176"/>
      <c r="BG105" s="657"/>
      <c r="BH105" s="1275"/>
      <c r="BI105" s="176"/>
      <c r="BJ105" s="657"/>
      <c r="BK105" s="1275"/>
      <c r="BL105" s="176"/>
      <c r="BM105" s="657"/>
      <c r="BN105" s="1275"/>
      <c r="BO105" s="176"/>
      <c r="BP105" s="657"/>
      <c r="BQ105" s="1275"/>
      <c r="BR105" s="176"/>
      <c r="BS105" s="657"/>
      <c r="BT105" s="1275"/>
      <c r="BU105" s="176"/>
      <c r="BV105" s="657"/>
      <c r="BW105" s="1275"/>
      <c r="BX105" s="176"/>
      <c r="BY105" s="657"/>
      <c r="BZ105" s="1313"/>
      <c r="CA105" s="1307"/>
    </row>
    <row r="106" spans="1:79" ht="14.25" customHeight="1">
      <c r="A106" s="1272">
        <v>16</v>
      </c>
      <c r="B106" s="1273" t="s">
        <v>59</v>
      </c>
      <c r="C106" s="1274"/>
      <c r="D106" s="1275" t="s">
        <v>531</v>
      </c>
      <c r="E106" s="1275"/>
      <c r="F106" s="1275"/>
      <c r="G106" s="1310"/>
      <c r="H106" s="1311">
        <v>5</v>
      </c>
      <c r="I106" s="656" t="s">
        <v>696</v>
      </c>
      <c r="J106" s="657"/>
      <c r="K106" s="1293"/>
      <c r="L106" s="656"/>
      <c r="M106" s="657"/>
      <c r="N106" s="1293"/>
      <c r="O106" s="656"/>
      <c r="P106" s="657"/>
      <c r="Q106" s="1293"/>
      <c r="R106" s="656"/>
      <c r="S106" s="657"/>
      <c r="T106" s="1293"/>
      <c r="U106" s="656"/>
      <c r="V106" s="657"/>
      <c r="W106" s="1293"/>
      <c r="X106" s="656"/>
      <c r="Y106" s="657"/>
      <c r="Z106" s="1293"/>
      <c r="AA106" s="656"/>
      <c r="AB106" s="657"/>
      <c r="AC106" s="1293"/>
      <c r="AD106" s="656"/>
      <c r="AE106" s="657"/>
      <c r="AF106" s="1293"/>
      <c r="AG106" s="656"/>
      <c r="AH106" s="657"/>
      <c r="AI106" s="1299">
        <v>5</v>
      </c>
      <c r="AJ106" s="1307">
        <v>123</v>
      </c>
      <c r="AK106" s="1289">
        <v>0</v>
      </c>
      <c r="AL106" s="1298">
        <v>0</v>
      </c>
      <c r="AM106" s="1289">
        <v>0</v>
      </c>
      <c r="AN106" s="1289">
        <v>0</v>
      </c>
      <c r="AO106" s="1289">
        <v>0</v>
      </c>
      <c r="AP106" s="1289">
        <v>0</v>
      </c>
      <c r="AQ106" s="1294">
        <v>0</v>
      </c>
      <c r="AR106" s="1272">
        <v>16</v>
      </c>
      <c r="AS106" s="1273" t="s">
        <v>239</v>
      </c>
      <c r="AT106" s="1274"/>
      <c r="AU106" s="1275"/>
      <c r="AV106" s="1275"/>
      <c r="AW106" s="1275"/>
      <c r="AX106" s="1310"/>
      <c r="AY106" s="1311">
        <v>0</v>
      </c>
      <c r="AZ106" s="656"/>
      <c r="BA106" s="657"/>
      <c r="BB106" s="1293"/>
      <c r="BC106" s="656"/>
      <c r="BD106" s="657"/>
      <c r="BE106" s="1293"/>
      <c r="BF106" s="656"/>
      <c r="BG106" s="657"/>
      <c r="BH106" s="1293"/>
      <c r="BI106" s="656"/>
      <c r="BJ106" s="657"/>
      <c r="BK106" s="1293"/>
      <c r="BL106" s="656"/>
      <c r="BM106" s="657"/>
      <c r="BN106" s="1293"/>
      <c r="BO106" s="656"/>
      <c r="BP106" s="657"/>
      <c r="BQ106" s="1293"/>
      <c r="BR106" s="656"/>
      <c r="BS106" s="657"/>
      <c r="BT106" s="1293"/>
      <c r="BU106" s="656"/>
      <c r="BV106" s="657"/>
      <c r="BW106" s="1293"/>
      <c r="BX106" s="656"/>
      <c r="BY106" s="657"/>
      <c r="BZ106" s="1299">
        <v>0</v>
      </c>
      <c r="CA106" s="1307">
        <v>86</v>
      </c>
    </row>
    <row r="107" spans="1:79" ht="14.25" customHeight="1">
      <c r="A107" s="1272"/>
      <c r="B107" s="1273"/>
      <c r="C107" s="1274"/>
      <c r="D107" s="1275"/>
      <c r="E107" s="1275"/>
      <c r="F107" s="1275"/>
      <c r="G107" s="1310"/>
      <c r="H107" s="1311"/>
      <c r="I107" s="656"/>
      <c r="J107" s="657"/>
      <c r="K107" s="1293"/>
      <c r="L107" s="656"/>
      <c r="M107" s="657"/>
      <c r="N107" s="1293"/>
      <c r="O107" s="656"/>
      <c r="P107" s="657"/>
      <c r="Q107" s="1293"/>
      <c r="R107" s="656"/>
      <c r="S107" s="657"/>
      <c r="T107" s="1293"/>
      <c r="U107" s="656"/>
      <c r="V107" s="657"/>
      <c r="W107" s="1293"/>
      <c r="X107" s="656"/>
      <c r="Y107" s="657"/>
      <c r="Z107" s="1293"/>
      <c r="AA107" s="656"/>
      <c r="AB107" s="657"/>
      <c r="AC107" s="1293"/>
      <c r="AD107" s="656"/>
      <c r="AE107" s="657"/>
      <c r="AF107" s="1293"/>
      <c r="AG107" s="656"/>
      <c r="AH107" s="657"/>
      <c r="AI107" s="1299"/>
      <c r="AJ107" s="1307"/>
      <c r="AK107" s="1289"/>
      <c r="AL107" s="1298"/>
      <c r="AM107" s="1289"/>
      <c r="AN107" s="1289"/>
      <c r="AO107" s="1289"/>
      <c r="AP107" s="1289"/>
      <c r="AQ107" s="1294"/>
      <c r="AR107" s="1272"/>
      <c r="AS107" s="1273"/>
      <c r="AT107" s="1274"/>
      <c r="AU107" s="1275"/>
      <c r="AV107" s="1275"/>
      <c r="AW107" s="1275"/>
      <c r="AX107" s="1310"/>
      <c r="AY107" s="1311"/>
      <c r="AZ107" s="656"/>
      <c r="BA107" s="657"/>
      <c r="BB107" s="1293"/>
      <c r="BC107" s="656"/>
      <c r="BD107" s="657"/>
      <c r="BE107" s="1293"/>
      <c r="BF107" s="656"/>
      <c r="BG107" s="657"/>
      <c r="BH107" s="1293"/>
      <c r="BI107" s="656"/>
      <c r="BJ107" s="657"/>
      <c r="BK107" s="1293"/>
      <c r="BL107" s="656"/>
      <c r="BM107" s="657"/>
      <c r="BN107" s="1293"/>
      <c r="BO107" s="656"/>
      <c r="BP107" s="657"/>
      <c r="BQ107" s="1293"/>
      <c r="BR107" s="656"/>
      <c r="BS107" s="657"/>
      <c r="BT107" s="1293"/>
      <c r="BU107" s="656"/>
      <c r="BV107" s="657"/>
      <c r="BW107" s="1293"/>
      <c r="BX107" s="656"/>
      <c r="BY107" s="657"/>
      <c r="BZ107" s="1299"/>
      <c r="CA107" s="1307"/>
    </row>
    <row r="108" spans="1:79" ht="14.25" customHeight="1">
      <c r="A108" s="1308">
        <v>17</v>
      </c>
      <c r="B108" s="1287" t="s">
        <v>221</v>
      </c>
      <c r="C108" s="1288" t="s">
        <v>531</v>
      </c>
      <c r="D108" s="1284"/>
      <c r="E108" s="1284"/>
      <c r="F108" s="1284"/>
      <c r="G108" s="1285"/>
      <c r="H108" s="1274">
        <v>4</v>
      </c>
      <c r="I108" s="176" t="s">
        <v>696</v>
      </c>
      <c r="J108" s="657"/>
      <c r="K108" s="1275"/>
      <c r="L108" s="176"/>
      <c r="M108" s="657"/>
      <c r="N108" s="1275"/>
      <c r="O108" s="176"/>
      <c r="P108" s="657"/>
      <c r="Q108" s="1275"/>
      <c r="R108" s="176"/>
      <c r="S108" s="657"/>
      <c r="T108" s="1275"/>
      <c r="U108" s="176"/>
      <c r="V108" s="657"/>
      <c r="W108" s="1275"/>
      <c r="X108" s="176"/>
      <c r="Y108" s="657"/>
      <c r="Z108" s="1275"/>
      <c r="AA108" s="176"/>
      <c r="AB108" s="657"/>
      <c r="AC108" s="1275"/>
      <c r="AD108" s="176"/>
      <c r="AE108" s="657"/>
      <c r="AF108" s="1275"/>
      <c r="AG108" s="176"/>
      <c r="AH108" s="657"/>
      <c r="AI108" s="1312">
        <v>4</v>
      </c>
      <c r="AJ108" s="1307">
        <v>127</v>
      </c>
      <c r="AK108" s="1289">
        <v>0</v>
      </c>
      <c r="AL108" s="1298">
        <v>0</v>
      </c>
      <c r="AM108" s="1289">
        <v>0</v>
      </c>
      <c r="AN108" s="1289">
        <v>0</v>
      </c>
      <c r="AO108" s="1289">
        <v>0</v>
      </c>
      <c r="AP108" s="1289">
        <v>0</v>
      </c>
      <c r="AQ108" s="1294">
        <v>0</v>
      </c>
      <c r="AR108" s="1308">
        <v>17</v>
      </c>
      <c r="AS108" s="1287" t="s">
        <v>239</v>
      </c>
      <c r="AT108" s="1288" t="s">
        <v>531</v>
      </c>
      <c r="AU108" s="1284" t="s">
        <v>531</v>
      </c>
      <c r="AV108" s="1284"/>
      <c r="AW108" s="1284"/>
      <c r="AX108" s="1285"/>
      <c r="AY108" s="1274">
        <v>5</v>
      </c>
      <c r="AZ108" s="176" t="s">
        <v>696</v>
      </c>
      <c r="BA108" s="657"/>
      <c r="BB108" s="1275"/>
      <c r="BC108" s="176"/>
      <c r="BD108" s="657"/>
      <c r="BE108" s="1275"/>
      <c r="BF108" s="176"/>
      <c r="BG108" s="657"/>
      <c r="BH108" s="1275"/>
      <c r="BI108" s="176"/>
      <c r="BJ108" s="657"/>
      <c r="BK108" s="1275"/>
      <c r="BL108" s="176"/>
      <c r="BM108" s="657"/>
      <c r="BN108" s="1275"/>
      <c r="BO108" s="176"/>
      <c r="BP108" s="657"/>
      <c r="BQ108" s="1275"/>
      <c r="BR108" s="176"/>
      <c r="BS108" s="657"/>
      <c r="BT108" s="1275"/>
      <c r="BU108" s="176"/>
      <c r="BV108" s="657"/>
      <c r="BW108" s="1275"/>
      <c r="BX108" s="176"/>
      <c r="BY108" s="657"/>
      <c r="BZ108" s="1312">
        <v>5</v>
      </c>
      <c r="CA108" s="1307">
        <v>91</v>
      </c>
    </row>
    <row r="109" spans="1:79" ht="14.25" customHeight="1">
      <c r="A109" s="1308"/>
      <c r="B109" s="1287"/>
      <c r="C109" s="1288"/>
      <c r="D109" s="1284"/>
      <c r="E109" s="1284"/>
      <c r="F109" s="1284"/>
      <c r="G109" s="1286"/>
      <c r="H109" s="1274"/>
      <c r="I109" s="176"/>
      <c r="J109" s="657"/>
      <c r="K109" s="1275"/>
      <c r="L109" s="176"/>
      <c r="M109" s="657"/>
      <c r="N109" s="1275"/>
      <c r="O109" s="176"/>
      <c r="P109" s="657"/>
      <c r="Q109" s="1275"/>
      <c r="R109" s="176"/>
      <c r="S109" s="657"/>
      <c r="T109" s="1275"/>
      <c r="U109" s="176"/>
      <c r="V109" s="657"/>
      <c r="W109" s="1275"/>
      <c r="X109" s="176"/>
      <c r="Y109" s="657"/>
      <c r="Z109" s="1275"/>
      <c r="AA109" s="176"/>
      <c r="AB109" s="657"/>
      <c r="AC109" s="1275"/>
      <c r="AD109" s="176"/>
      <c r="AE109" s="657"/>
      <c r="AF109" s="1275"/>
      <c r="AG109" s="176"/>
      <c r="AH109" s="657"/>
      <c r="AI109" s="1313"/>
      <c r="AJ109" s="1307"/>
      <c r="AK109" s="1289"/>
      <c r="AL109" s="1298"/>
      <c r="AM109" s="1289"/>
      <c r="AN109" s="1289"/>
      <c r="AO109" s="1289"/>
      <c r="AP109" s="1289"/>
      <c r="AQ109" s="1294"/>
      <c r="AR109" s="1308"/>
      <c r="AS109" s="1287"/>
      <c r="AT109" s="1288"/>
      <c r="AU109" s="1284"/>
      <c r="AV109" s="1284"/>
      <c r="AW109" s="1284"/>
      <c r="AX109" s="1286"/>
      <c r="AY109" s="1274"/>
      <c r="AZ109" s="176"/>
      <c r="BA109" s="657"/>
      <c r="BB109" s="1275"/>
      <c r="BC109" s="176"/>
      <c r="BD109" s="657"/>
      <c r="BE109" s="1275"/>
      <c r="BF109" s="176"/>
      <c r="BG109" s="657"/>
      <c r="BH109" s="1275"/>
      <c r="BI109" s="176"/>
      <c r="BJ109" s="657"/>
      <c r="BK109" s="1275"/>
      <c r="BL109" s="176"/>
      <c r="BM109" s="657"/>
      <c r="BN109" s="1275"/>
      <c r="BO109" s="176"/>
      <c r="BP109" s="657"/>
      <c r="BQ109" s="1275"/>
      <c r="BR109" s="176"/>
      <c r="BS109" s="657"/>
      <c r="BT109" s="1275"/>
      <c r="BU109" s="176"/>
      <c r="BV109" s="657"/>
      <c r="BW109" s="1275"/>
      <c r="BX109" s="176"/>
      <c r="BY109" s="657"/>
      <c r="BZ109" s="1313"/>
      <c r="CA109" s="1307"/>
    </row>
    <row r="110" spans="1:79" ht="14.25" customHeight="1">
      <c r="A110" s="1272">
        <v>18</v>
      </c>
      <c r="B110" s="1273" t="s">
        <v>221</v>
      </c>
      <c r="C110" s="1274"/>
      <c r="D110" s="1275"/>
      <c r="E110" s="1275"/>
      <c r="F110" s="1275"/>
      <c r="G110" s="1310"/>
      <c r="H110" s="1311">
        <v>0</v>
      </c>
      <c r="I110" s="656"/>
      <c r="J110" s="657"/>
      <c r="K110" s="1293"/>
      <c r="L110" s="656"/>
      <c r="M110" s="657"/>
      <c r="N110" s="1293"/>
      <c r="O110" s="656"/>
      <c r="P110" s="657"/>
      <c r="Q110" s="1293"/>
      <c r="R110" s="656"/>
      <c r="S110" s="657"/>
      <c r="T110" s="1293"/>
      <c r="U110" s="656"/>
      <c r="V110" s="657"/>
      <c r="W110" s="1293"/>
      <c r="X110" s="656"/>
      <c r="Y110" s="657"/>
      <c r="Z110" s="1293"/>
      <c r="AA110" s="656"/>
      <c r="AB110" s="657"/>
      <c r="AC110" s="1293"/>
      <c r="AD110" s="656"/>
      <c r="AE110" s="657"/>
      <c r="AF110" s="1293"/>
      <c r="AG110" s="656"/>
      <c r="AH110" s="657"/>
      <c r="AI110" s="1299">
        <v>0</v>
      </c>
      <c r="AJ110" s="1307">
        <v>127</v>
      </c>
      <c r="AK110" s="1289">
        <v>0</v>
      </c>
      <c r="AL110" s="1298">
        <v>0</v>
      </c>
      <c r="AM110" s="1289">
        <v>0</v>
      </c>
      <c r="AN110" s="1289">
        <v>0</v>
      </c>
      <c r="AO110" s="1289">
        <v>0</v>
      </c>
      <c r="AP110" s="1289">
        <v>0</v>
      </c>
      <c r="AQ110" s="1294">
        <v>0</v>
      </c>
      <c r="AR110" s="1272">
        <v>18</v>
      </c>
      <c r="AS110" s="1273" t="s">
        <v>76</v>
      </c>
      <c r="AT110" s="1274"/>
      <c r="AU110" s="1275" t="s">
        <v>531</v>
      </c>
      <c r="AV110" s="1275" t="s">
        <v>531</v>
      </c>
      <c r="AW110" s="1275"/>
      <c r="AX110" s="1310"/>
      <c r="AY110" s="1311">
        <v>5</v>
      </c>
      <c r="AZ110" s="656" t="s">
        <v>696</v>
      </c>
      <c r="BA110" s="657"/>
      <c r="BB110" s="1293">
        <v>4</v>
      </c>
      <c r="BC110" s="656"/>
      <c r="BD110" s="657"/>
      <c r="BE110" s="1293"/>
      <c r="BF110" s="656"/>
      <c r="BG110" s="657"/>
      <c r="BH110" s="1293"/>
      <c r="BI110" s="656"/>
      <c r="BJ110" s="657"/>
      <c r="BK110" s="1293"/>
      <c r="BL110" s="656"/>
      <c r="BM110" s="657"/>
      <c r="BN110" s="1293"/>
      <c r="BO110" s="656"/>
      <c r="BP110" s="657"/>
      <c r="BQ110" s="1293"/>
      <c r="BR110" s="656"/>
      <c r="BS110" s="657"/>
      <c r="BT110" s="1293"/>
      <c r="BU110" s="656"/>
      <c r="BV110" s="657"/>
      <c r="BW110" s="1293"/>
      <c r="BX110" s="656"/>
      <c r="BY110" s="657"/>
      <c r="BZ110" s="1299">
        <v>9</v>
      </c>
      <c r="CA110" s="1307">
        <v>100</v>
      </c>
    </row>
    <row r="111" spans="1:79" ht="14.25" customHeight="1">
      <c r="A111" s="1272"/>
      <c r="B111" s="1273"/>
      <c r="C111" s="1274"/>
      <c r="D111" s="1275"/>
      <c r="E111" s="1275"/>
      <c r="F111" s="1275"/>
      <c r="G111" s="1310"/>
      <c r="H111" s="1311"/>
      <c r="I111" s="656"/>
      <c r="J111" s="657"/>
      <c r="K111" s="1293"/>
      <c r="L111" s="656"/>
      <c r="M111" s="657"/>
      <c r="N111" s="1293"/>
      <c r="O111" s="656"/>
      <c r="P111" s="657"/>
      <c r="Q111" s="1293"/>
      <c r="R111" s="656"/>
      <c r="S111" s="657"/>
      <c r="T111" s="1293"/>
      <c r="U111" s="656"/>
      <c r="V111" s="657"/>
      <c r="W111" s="1293"/>
      <c r="X111" s="656"/>
      <c r="Y111" s="657"/>
      <c r="Z111" s="1293"/>
      <c r="AA111" s="656"/>
      <c r="AB111" s="657"/>
      <c r="AC111" s="1293"/>
      <c r="AD111" s="656"/>
      <c r="AE111" s="657"/>
      <c r="AF111" s="1293"/>
      <c r="AG111" s="656"/>
      <c r="AH111" s="657"/>
      <c r="AI111" s="1299"/>
      <c r="AJ111" s="1307"/>
      <c r="AK111" s="1289"/>
      <c r="AL111" s="1298"/>
      <c r="AM111" s="1289"/>
      <c r="AN111" s="1289"/>
      <c r="AO111" s="1289"/>
      <c r="AP111" s="1289"/>
      <c r="AQ111" s="1294"/>
      <c r="AR111" s="1272"/>
      <c r="AS111" s="1273"/>
      <c r="AT111" s="1274"/>
      <c r="AU111" s="1275"/>
      <c r="AV111" s="1275"/>
      <c r="AW111" s="1275"/>
      <c r="AX111" s="1310"/>
      <c r="AY111" s="1311"/>
      <c r="AZ111" s="656"/>
      <c r="BA111" s="657"/>
      <c r="BB111" s="1293"/>
      <c r="BC111" s="656"/>
      <c r="BD111" s="657"/>
      <c r="BE111" s="1293"/>
      <c r="BF111" s="656"/>
      <c r="BG111" s="657"/>
      <c r="BH111" s="1293"/>
      <c r="BI111" s="656"/>
      <c r="BJ111" s="657"/>
      <c r="BK111" s="1293"/>
      <c r="BL111" s="656"/>
      <c r="BM111" s="657"/>
      <c r="BN111" s="1293"/>
      <c r="BO111" s="656"/>
      <c r="BP111" s="657"/>
      <c r="BQ111" s="1293"/>
      <c r="BR111" s="656"/>
      <c r="BS111" s="657"/>
      <c r="BT111" s="1293"/>
      <c r="BU111" s="656"/>
      <c r="BV111" s="657"/>
      <c r="BW111" s="1293"/>
      <c r="BX111" s="656"/>
      <c r="BY111" s="657"/>
      <c r="BZ111" s="1299"/>
      <c r="CA111" s="1307"/>
    </row>
    <row r="112" spans="1:79" ht="14.25" customHeight="1">
      <c r="A112" s="1308">
        <v>19</v>
      </c>
      <c r="B112" s="1287" t="s">
        <v>57</v>
      </c>
      <c r="C112" s="1288"/>
      <c r="D112" s="1284"/>
      <c r="E112" s="1284"/>
      <c r="F112" s="1284"/>
      <c r="G112" s="1285"/>
      <c r="H112" s="1274">
        <v>0</v>
      </c>
      <c r="I112" s="176"/>
      <c r="J112" s="657"/>
      <c r="K112" s="1275"/>
      <c r="L112" s="176"/>
      <c r="M112" s="657"/>
      <c r="N112" s="1275"/>
      <c r="O112" s="176"/>
      <c r="P112" s="657"/>
      <c r="Q112" s="1275"/>
      <c r="R112" s="176"/>
      <c r="S112" s="657"/>
      <c r="T112" s="1275"/>
      <c r="U112" s="176"/>
      <c r="V112" s="657"/>
      <c r="W112" s="1275"/>
      <c r="X112" s="176"/>
      <c r="Y112" s="657"/>
      <c r="Z112" s="1275"/>
      <c r="AA112" s="176"/>
      <c r="AB112" s="657"/>
      <c r="AC112" s="1275"/>
      <c r="AD112" s="176"/>
      <c r="AE112" s="657"/>
      <c r="AF112" s="1275"/>
      <c r="AG112" s="176"/>
      <c r="AH112" s="657"/>
      <c r="AI112" s="1312">
        <v>0</v>
      </c>
      <c r="AJ112" s="1307">
        <v>127</v>
      </c>
      <c r="AK112" s="1289">
        <v>0</v>
      </c>
      <c r="AL112" s="1298">
        <v>0</v>
      </c>
      <c r="AM112" s="1289">
        <v>0</v>
      </c>
      <c r="AN112" s="1289">
        <v>0</v>
      </c>
      <c r="AO112" s="1289">
        <v>0</v>
      </c>
      <c r="AP112" s="1289">
        <v>0</v>
      </c>
      <c r="AQ112" s="1294">
        <v>0</v>
      </c>
      <c r="AR112" s="1308">
        <v>19</v>
      </c>
      <c r="AS112" s="1287" t="s">
        <v>241</v>
      </c>
      <c r="AT112" s="1288"/>
      <c r="AU112" s="1284" t="s">
        <v>531</v>
      </c>
      <c r="AV112" s="1284" t="s">
        <v>531</v>
      </c>
      <c r="AW112" s="1284"/>
      <c r="AX112" s="1285"/>
      <c r="AY112" s="1274">
        <v>4</v>
      </c>
      <c r="AZ112" s="176"/>
      <c r="BA112" s="657"/>
      <c r="BB112" s="1275"/>
      <c r="BC112" s="176"/>
      <c r="BD112" s="657"/>
      <c r="BE112" s="1275"/>
      <c r="BF112" s="176"/>
      <c r="BG112" s="657"/>
      <c r="BH112" s="1275"/>
      <c r="BI112" s="176"/>
      <c r="BJ112" s="657"/>
      <c r="BK112" s="1275"/>
      <c r="BL112" s="176"/>
      <c r="BM112" s="657"/>
      <c r="BN112" s="1275"/>
      <c r="BO112" s="176"/>
      <c r="BP112" s="657"/>
      <c r="BQ112" s="1275"/>
      <c r="BR112" s="176"/>
      <c r="BS112" s="657"/>
      <c r="BT112" s="1275"/>
      <c r="BU112" s="176"/>
      <c r="BV112" s="657"/>
      <c r="BW112" s="1275"/>
      <c r="BX112" s="176"/>
      <c r="BY112" s="657"/>
      <c r="BZ112" s="1312">
        <v>4</v>
      </c>
      <c r="CA112" s="1307">
        <v>104</v>
      </c>
    </row>
    <row r="113" spans="1:79" ht="14.25" customHeight="1">
      <c r="A113" s="1308"/>
      <c r="B113" s="1287"/>
      <c r="C113" s="1288"/>
      <c r="D113" s="1284"/>
      <c r="E113" s="1284"/>
      <c r="F113" s="1284"/>
      <c r="G113" s="1286"/>
      <c r="H113" s="1274"/>
      <c r="I113" s="176"/>
      <c r="J113" s="657"/>
      <c r="K113" s="1275"/>
      <c r="L113" s="176"/>
      <c r="M113" s="657"/>
      <c r="N113" s="1275"/>
      <c r="O113" s="176"/>
      <c r="P113" s="657"/>
      <c r="Q113" s="1275"/>
      <c r="R113" s="176"/>
      <c r="S113" s="657"/>
      <c r="T113" s="1275"/>
      <c r="U113" s="176"/>
      <c r="V113" s="657"/>
      <c r="W113" s="1275"/>
      <c r="X113" s="176"/>
      <c r="Y113" s="657"/>
      <c r="Z113" s="1275"/>
      <c r="AA113" s="176"/>
      <c r="AB113" s="657"/>
      <c r="AC113" s="1275"/>
      <c r="AD113" s="176"/>
      <c r="AE113" s="657"/>
      <c r="AF113" s="1275"/>
      <c r="AG113" s="176"/>
      <c r="AH113" s="657"/>
      <c r="AI113" s="1313"/>
      <c r="AJ113" s="1307"/>
      <c r="AK113" s="1289"/>
      <c r="AL113" s="1298"/>
      <c r="AM113" s="1289"/>
      <c r="AN113" s="1289"/>
      <c r="AO113" s="1289"/>
      <c r="AP113" s="1289"/>
      <c r="AQ113" s="1294"/>
      <c r="AR113" s="1308"/>
      <c r="AS113" s="1287"/>
      <c r="AT113" s="1288"/>
      <c r="AU113" s="1284"/>
      <c r="AV113" s="1284"/>
      <c r="AW113" s="1284"/>
      <c r="AX113" s="1286"/>
      <c r="AY113" s="1274"/>
      <c r="AZ113" s="176"/>
      <c r="BA113" s="657"/>
      <c r="BB113" s="1275"/>
      <c r="BC113" s="176"/>
      <c r="BD113" s="657"/>
      <c r="BE113" s="1275"/>
      <c r="BF113" s="176"/>
      <c r="BG113" s="657"/>
      <c r="BH113" s="1275"/>
      <c r="BI113" s="176"/>
      <c r="BJ113" s="657"/>
      <c r="BK113" s="1275"/>
      <c r="BL113" s="176"/>
      <c r="BM113" s="657"/>
      <c r="BN113" s="1275"/>
      <c r="BO113" s="176"/>
      <c r="BP113" s="657"/>
      <c r="BQ113" s="1275"/>
      <c r="BR113" s="176"/>
      <c r="BS113" s="657"/>
      <c r="BT113" s="1275"/>
      <c r="BU113" s="176"/>
      <c r="BV113" s="657"/>
      <c r="BW113" s="1275"/>
      <c r="BX113" s="176"/>
      <c r="BY113" s="657"/>
      <c r="BZ113" s="1313"/>
      <c r="CA113" s="1307"/>
    </row>
    <row r="114" spans="1:79" ht="14.25" customHeight="1">
      <c r="A114" s="1272">
        <v>20</v>
      </c>
      <c r="B114" s="1273" t="s">
        <v>59</v>
      </c>
      <c r="C114" s="1274"/>
      <c r="D114" s="1275"/>
      <c r="E114" s="1275"/>
      <c r="F114" s="1275"/>
      <c r="G114" s="1310"/>
      <c r="H114" s="1311">
        <v>5</v>
      </c>
      <c r="I114" s="656" t="s">
        <v>527</v>
      </c>
      <c r="J114" s="657" t="s">
        <v>461</v>
      </c>
      <c r="K114" s="1293">
        <v>5</v>
      </c>
      <c r="L114" s="656" t="s">
        <v>527</v>
      </c>
      <c r="M114" s="657" t="s">
        <v>527</v>
      </c>
      <c r="N114" s="1293">
        <v>5</v>
      </c>
      <c r="O114" s="656" t="s">
        <v>527</v>
      </c>
      <c r="P114" s="657" t="s">
        <v>527</v>
      </c>
      <c r="Q114" s="1293"/>
      <c r="R114" s="656"/>
      <c r="S114" s="657"/>
      <c r="T114" s="1293"/>
      <c r="U114" s="656"/>
      <c r="V114" s="657"/>
      <c r="W114" s="1293"/>
      <c r="X114" s="656"/>
      <c r="Y114" s="657"/>
      <c r="Z114" s="1293"/>
      <c r="AA114" s="656"/>
      <c r="AB114" s="657"/>
      <c r="AC114" s="1293"/>
      <c r="AD114" s="656"/>
      <c r="AE114" s="657"/>
      <c r="AF114" s="1293"/>
      <c r="AG114" s="656"/>
      <c r="AH114" s="657"/>
      <c r="AI114" s="1299">
        <v>15</v>
      </c>
      <c r="AJ114" s="1307">
        <v>142</v>
      </c>
      <c r="AK114" s="1289">
        <v>0</v>
      </c>
      <c r="AL114" s="1298">
        <v>0</v>
      </c>
      <c r="AM114" s="1289">
        <v>0</v>
      </c>
      <c r="AN114" s="1289">
        <v>0</v>
      </c>
      <c r="AO114" s="1289">
        <v>0</v>
      </c>
      <c r="AP114" s="1289">
        <v>0</v>
      </c>
      <c r="AQ114" s="1294">
        <v>0</v>
      </c>
      <c r="AR114" s="1272">
        <v>20</v>
      </c>
      <c r="AS114" s="1273" t="s">
        <v>241</v>
      </c>
      <c r="AT114" s="1274"/>
      <c r="AU114" s="1275" t="s">
        <v>531</v>
      </c>
      <c r="AV114" s="1275"/>
      <c r="AW114" s="1275"/>
      <c r="AX114" s="1310"/>
      <c r="AY114" s="1311">
        <v>4</v>
      </c>
      <c r="AZ114" s="656"/>
      <c r="BA114" s="657"/>
      <c r="BB114" s="1293"/>
      <c r="BC114" s="656"/>
      <c r="BD114" s="657"/>
      <c r="BE114" s="1293"/>
      <c r="BF114" s="656"/>
      <c r="BG114" s="657"/>
      <c r="BH114" s="1293"/>
      <c r="BI114" s="656"/>
      <c r="BJ114" s="657"/>
      <c r="BK114" s="1293"/>
      <c r="BL114" s="656"/>
      <c r="BM114" s="657"/>
      <c r="BN114" s="1293"/>
      <c r="BO114" s="656"/>
      <c r="BP114" s="657"/>
      <c r="BQ114" s="1293"/>
      <c r="BR114" s="656"/>
      <c r="BS114" s="657"/>
      <c r="BT114" s="1293"/>
      <c r="BU114" s="656"/>
      <c r="BV114" s="657"/>
      <c r="BW114" s="1293"/>
      <c r="BX114" s="656"/>
      <c r="BY114" s="657"/>
      <c r="BZ114" s="1299">
        <v>4</v>
      </c>
      <c r="CA114" s="1307">
        <v>108</v>
      </c>
    </row>
    <row r="115" spans="1:79" ht="14.25" customHeight="1">
      <c r="A115" s="1272"/>
      <c r="B115" s="1273"/>
      <c r="C115" s="1274"/>
      <c r="D115" s="1275"/>
      <c r="E115" s="1275"/>
      <c r="F115" s="1275"/>
      <c r="G115" s="1310"/>
      <c r="H115" s="1311"/>
      <c r="I115" s="656"/>
      <c r="J115" s="657"/>
      <c r="K115" s="1293"/>
      <c r="L115" s="656" t="s">
        <v>461</v>
      </c>
      <c r="M115" s="657"/>
      <c r="N115" s="1293"/>
      <c r="O115" s="656" t="s">
        <v>461</v>
      </c>
      <c r="P115" s="657"/>
      <c r="Q115" s="1293"/>
      <c r="R115" s="656"/>
      <c r="S115" s="657"/>
      <c r="T115" s="1293"/>
      <c r="U115" s="656"/>
      <c r="V115" s="657"/>
      <c r="W115" s="1293"/>
      <c r="X115" s="656"/>
      <c r="Y115" s="657"/>
      <c r="Z115" s="1293"/>
      <c r="AA115" s="656"/>
      <c r="AB115" s="657"/>
      <c r="AC115" s="1293"/>
      <c r="AD115" s="656"/>
      <c r="AE115" s="657"/>
      <c r="AF115" s="1293"/>
      <c r="AG115" s="656"/>
      <c r="AH115" s="657"/>
      <c r="AI115" s="1299"/>
      <c r="AJ115" s="1307"/>
      <c r="AK115" s="1289"/>
      <c r="AL115" s="1298"/>
      <c r="AM115" s="1289"/>
      <c r="AN115" s="1289"/>
      <c r="AO115" s="1289"/>
      <c r="AP115" s="1289"/>
      <c r="AQ115" s="1294"/>
      <c r="AR115" s="1272"/>
      <c r="AS115" s="1273"/>
      <c r="AT115" s="1274"/>
      <c r="AU115" s="1275"/>
      <c r="AV115" s="1275"/>
      <c r="AW115" s="1275"/>
      <c r="AX115" s="1310"/>
      <c r="AY115" s="1311"/>
      <c r="AZ115" s="656"/>
      <c r="BA115" s="657"/>
      <c r="BB115" s="1293"/>
      <c r="BC115" s="656"/>
      <c r="BD115" s="657"/>
      <c r="BE115" s="1293"/>
      <c r="BF115" s="656"/>
      <c r="BG115" s="657"/>
      <c r="BH115" s="1293"/>
      <c r="BI115" s="656"/>
      <c r="BJ115" s="657"/>
      <c r="BK115" s="1293"/>
      <c r="BL115" s="656"/>
      <c r="BM115" s="657"/>
      <c r="BN115" s="1293"/>
      <c r="BO115" s="656"/>
      <c r="BP115" s="657"/>
      <c r="BQ115" s="1293"/>
      <c r="BR115" s="656"/>
      <c r="BS115" s="657"/>
      <c r="BT115" s="1293"/>
      <c r="BU115" s="656"/>
      <c r="BV115" s="657"/>
      <c r="BW115" s="1293"/>
      <c r="BX115" s="656"/>
      <c r="BY115" s="657"/>
      <c r="BZ115" s="1299"/>
      <c r="CA115" s="1307"/>
    </row>
    <row r="116" spans="1:79" ht="14.25" customHeight="1">
      <c r="A116" s="1308"/>
      <c r="B116" s="1287"/>
      <c r="C116" s="1288"/>
      <c r="D116" s="1284"/>
      <c r="E116" s="1284"/>
      <c r="F116" s="1284"/>
      <c r="G116" s="1285"/>
      <c r="H116" s="1274"/>
      <c r="I116" s="176"/>
      <c r="J116" s="657"/>
      <c r="K116" s="1275"/>
      <c r="L116" s="176"/>
      <c r="M116" s="657"/>
      <c r="N116" s="1275"/>
      <c r="O116" s="176"/>
      <c r="P116" s="657"/>
      <c r="Q116" s="1275"/>
      <c r="R116" s="176"/>
      <c r="S116" s="657"/>
      <c r="T116" s="1275"/>
      <c r="U116" s="176"/>
      <c r="V116" s="657"/>
      <c r="W116" s="1275"/>
      <c r="X116" s="176"/>
      <c r="Y116" s="657"/>
      <c r="Z116" s="1275"/>
      <c r="AA116" s="176"/>
      <c r="AB116" s="657"/>
      <c r="AC116" s="1275"/>
      <c r="AD116" s="176"/>
      <c r="AE116" s="657"/>
      <c r="AF116" s="1275"/>
      <c r="AG116" s="176"/>
      <c r="AH116" s="657"/>
      <c r="AI116" s="1312" t="s">
        <v>446</v>
      </c>
      <c r="AJ116" s="1307" t="s">
        <v>446</v>
      </c>
      <c r="AK116" s="1289">
        <v>0</v>
      </c>
      <c r="AL116" s="1298">
        <v>0</v>
      </c>
      <c r="AM116" s="1289">
        <v>0</v>
      </c>
      <c r="AN116" s="1289">
        <v>0</v>
      </c>
      <c r="AO116" s="1289">
        <v>0</v>
      </c>
      <c r="AP116" s="1289">
        <v>0</v>
      </c>
      <c r="AQ116" s="1294">
        <v>0</v>
      </c>
      <c r="AR116" s="1308"/>
      <c r="AS116" s="1287"/>
      <c r="AT116" s="1288"/>
      <c r="AU116" s="1284"/>
      <c r="AV116" s="1284"/>
      <c r="AW116" s="1284"/>
      <c r="AX116" s="1285"/>
      <c r="AY116" s="1274"/>
      <c r="AZ116" s="176"/>
      <c r="BA116" s="657"/>
      <c r="BB116" s="1275"/>
      <c r="BC116" s="176"/>
      <c r="BD116" s="657"/>
      <c r="BE116" s="1275"/>
      <c r="BF116" s="176"/>
      <c r="BG116" s="657"/>
      <c r="BH116" s="1275"/>
      <c r="BI116" s="176"/>
      <c r="BJ116" s="657"/>
      <c r="BK116" s="1275"/>
      <c r="BL116" s="176"/>
      <c r="BM116" s="657"/>
      <c r="BN116" s="1275"/>
      <c r="BO116" s="176"/>
      <c r="BP116" s="657"/>
      <c r="BQ116" s="1275"/>
      <c r="BR116" s="176"/>
      <c r="BS116" s="657"/>
      <c r="BT116" s="1275"/>
      <c r="BU116" s="176"/>
      <c r="BV116" s="657"/>
      <c r="BW116" s="1275"/>
      <c r="BX116" s="176"/>
      <c r="BY116" s="657"/>
      <c r="BZ116" s="1312" t="s">
        <v>446</v>
      </c>
      <c r="CA116" s="1307" t="s">
        <v>446</v>
      </c>
    </row>
    <row r="117" spans="1:79" ht="14.25" customHeight="1">
      <c r="A117" s="1308"/>
      <c r="B117" s="1287"/>
      <c r="C117" s="1288"/>
      <c r="D117" s="1284"/>
      <c r="E117" s="1284"/>
      <c r="F117" s="1284"/>
      <c r="G117" s="1286"/>
      <c r="H117" s="1274"/>
      <c r="I117" s="176"/>
      <c r="J117" s="657"/>
      <c r="K117" s="1275"/>
      <c r="L117" s="176"/>
      <c r="M117" s="657"/>
      <c r="N117" s="1275"/>
      <c r="O117" s="176"/>
      <c r="P117" s="657"/>
      <c r="Q117" s="1275"/>
      <c r="R117" s="176"/>
      <c r="S117" s="657"/>
      <c r="T117" s="1275"/>
      <c r="U117" s="176"/>
      <c r="V117" s="657"/>
      <c r="W117" s="1275"/>
      <c r="X117" s="176"/>
      <c r="Y117" s="657"/>
      <c r="Z117" s="1275"/>
      <c r="AA117" s="176"/>
      <c r="AB117" s="657"/>
      <c r="AC117" s="1275"/>
      <c r="AD117" s="176"/>
      <c r="AE117" s="657"/>
      <c r="AF117" s="1275"/>
      <c r="AG117" s="176"/>
      <c r="AH117" s="657"/>
      <c r="AI117" s="1313"/>
      <c r="AJ117" s="1307"/>
      <c r="AK117" s="1289"/>
      <c r="AL117" s="1298"/>
      <c r="AM117" s="1289"/>
      <c r="AN117" s="1289"/>
      <c r="AO117" s="1289"/>
      <c r="AP117" s="1289"/>
      <c r="AQ117" s="1294"/>
      <c r="AR117" s="1308"/>
      <c r="AS117" s="1287"/>
      <c r="AT117" s="1288"/>
      <c r="AU117" s="1284"/>
      <c r="AV117" s="1284"/>
      <c r="AW117" s="1284"/>
      <c r="AX117" s="1286"/>
      <c r="AY117" s="1274"/>
      <c r="AZ117" s="176"/>
      <c r="BA117" s="657"/>
      <c r="BB117" s="1275"/>
      <c r="BC117" s="176"/>
      <c r="BD117" s="657"/>
      <c r="BE117" s="1275"/>
      <c r="BF117" s="176"/>
      <c r="BG117" s="657"/>
      <c r="BH117" s="1275"/>
      <c r="BI117" s="176"/>
      <c r="BJ117" s="657"/>
      <c r="BK117" s="1275"/>
      <c r="BL117" s="176"/>
      <c r="BM117" s="657"/>
      <c r="BN117" s="1275"/>
      <c r="BO117" s="176"/>
      <c r="BP117" s="657"/>
      <c r="BQ117" s="1275"/>
      <c r="BR117" s="176"/>
      <c r="BS117" s="657"/>
      <c r="BT117" s="1275"/>
      <c r="BU117" s="176"/>
      <c r="BV117" s="657"/>
      <c r="BW117" s="1275"/>
      <c r="BX117" s="176"/>
      <c r="BY117" s="657"/>
      <c r="BZ117" s="1313"/>
      <c r="CA117" s="1307"/>
    </row>
    <row r="118" spans="1:79" ht="14.25" customHeight="1">
      <c r="A118" s="1272"/>
      <c r="B118" s="1273"/>
      <c r="C118" s="1274"/>
      <c r="D118" s="1275"/>
      <c r="E118" s="1275"/>
      <c r="F118" s="1275"/>
      <c r="G118" s="1310"/>
      <c r="H118" s="1311"/>
      <c r="I118" s="656"/>
      <c r="J118" s="657"/>
      <c r="K118" s="1293"/>
      <c r="L118" s="656"/>
      <c r="M118" s="657"/>
      <c r="N118" s="1293"/>
      <c r="O118" s="656"/>
      <c r="P118" s="657"/>
      <c r="Q118" s="1293"/>
      <c r="R118" s="656"/>
      <c r="S118" s="657"/>
      <c r="T118" s="1293"/>
      <c r="U118" s="656"/>
      <c r="V118" s="657"/>
      <c r="W118" s="1293"/>
      <c r="X118" s="656"/>
      <c r="Y118" s="657"/>
      <c r="Z118" s="1293"/>
      <c r="AA118" s="656"/>
      <c r="AB118" s="657"/>
      <c r="AC118" s="1293"/>
      <c r="AD118" s="656"/>
      <c r="AE118" s="657"/>
      <c r="AF118" s="1293"/>
      <c r="AG118" s="656"/>
      <c r="AH118" s="657"/>
      <c r="AI118" s="1299" t="s">
        <v>446</v>
      </c>
      <c r="AJ118" s="1307" t="s">
        <v>446</v>
      </c>
      <c r="AK118" s="1289">
        <v>0</v>
      </c>
      <c r="AL118" s="1298">
        <v>0</v>
      </c>
      <c r="AM118" s="1289">
        <v>0</v>
      </c>
      <c r="AN118" s="1289">
        <v>0</v>
      </c>
      <c r="AO118" s="1289">
        <v>0</v>
      </c>
      <c r="AP118" s="1289">
        <v>0</v>
      </c>
      <c r="AQ118" s="1294">
        <v>0</v>
      </c>
      <c r="AR118" s="1272"/>
      <c r="AS118" s="1273"/>
      <c r="AT118" s="1274"/>
      <c r="AU118" s="1275"/>
      <c r="AV118" s="1275"/>
      <c r="AW118" s="1275"/>
      <c r="AX118" s="1310"/>
      <c r="AY118" s="1311"/>
      <c r="AZ118" s="656"/>
      <c r="BA118" s="657"/>
      <c r="BB118" s="1293"/>
      <c r="BC118" s="656"/>
      <c r="BD118" s="657"/>
      <c r="BE118" s="1293"/>
      <c r="BF118" s="656"/>
      <c r="BG118" s="657"/>
      <c r="BH118" s="1293"/>
      <c r="BI118" s="656"/>
      <c r="BJ118" s="657"/>
      <c r="BK118" s="1293"/>
      <c r="BL118" s="656"/>
      <c r="BM118" s="657"/>
      <c r="BN118" s="1293"/>
      <c r="BO118" s="656"/>
      <c r="BP118" s="657"/>
      <c r="BQ118" s="1293"/>
      <c r="BR118" s="656"/>
      <c r="BS118" s="657"/>
      <c r="BT118" s="1293"/>
      <c r="BU118" s="656"/>
      <c r="BV118" s="657"/>
      <c r="BW118" s="1293"/>
      <c r="BX118" s="656"/>
      <c r="BY118" s="657"/>
      <c r="BZ118" s="1299" t="s">
        <v>446</v>
      </c>
      <c r="CA118" s="1307" t="s">
        <v>446</v>
      </c>
    </row>
    <row r="119" spans="1:79" ht="14.25" customHeight="1">
      <c r="A119" s="1272"/>
      <c r="B119" s="1273"/>
      <c r="C119" s="1274"/>
      <c r="D119" s="1275"/>
      <c r="E119" s="1275"/>
      <c r="F119" s="1275"/>
      <c r="G119" s="1310"/>
      <c r="H119" s="1311"/>
      <c r="I119" s="656"/>
      <c r="J119" s="657"/>
      <c r="K119" s="1293"/>
      <c r="L119" s="656"/>
      <c r="M119" s="657"/>
      <c r="N119" s="1293"/>
      <c r="O119" s="656"/>
      <c r="P119" s="657"/>
      <c r="Q119" s="1293"/>
      <c r="R119" s="656"/>
      <c r="S119" s="657"/>
      <c r="T119" s="1293"/>
      <c r="U119" s="656"/>
      <c r="V119" s="657"/>
      <c r="W119" s="1293"/>
      <c r="X119" s="656"/>
      <c r="Y119" s="657"/>
      <c r="Z119" s="1293"/>
      <c r="AA119" s="656"/>
      <c r="AB119" s="657"/>
      <c r="AC119" s="1293"/>
      <c r="AD119" s="656"/>
      <c r="AE119" s="657"/>
      <c r="AF119" s="1293"/>
      <c r="AG119" s="656"/>
      <c r="AH119" s="657"/>
      <c r="AI119" s="1299"/>
      <c r="AJ119" s="1307"/>
      <c r="AK119" s="1289"/>
      <c r="AL119" s="1298"/>
      <c r="AM119" s="1289"/>
      <c r="AN119" s="1289"/>
      <c r="AO119" s="1289"/>
      <c r="AP119" s="1289"/>
      <c r="AQ119" s="1294"/>
      <c r="AR119" s="1272"/>
      <c r="AS119" s="1273"/>
      <c r="AT119" s="1274"/>
      <c r="AU119" s="1275"/>
      <c r="AV119" s="1275"/>
      <c r="AW119" s="1275"/>
      <c r="AX119" s="1310"/>
      <c r="AY119" s="1311"/>
      <c r="AZ119" s="656"/>
      <c r="BA119" s="657"/>
      <c r="BB119" s="1293"/>
      <c r="BC119" s="656"/>
      <c r="BD119" s="657"/>
      <c r="BE119" s="1293"/>
      <c r="BF119" s="656"/>
      <c r="BG119" s="657"/>
      <c r="BH119" s="1293"/>
      <c r="BI119" s="656"/>
      <c r="BJ119" s="657"/>
      <c r="BK119" s="1293"/>
      <c r="BL119" s="656"/>
      <c r="BM119" s="657"/>
      <c r="BN119" s="1293"/>
      <c r="BO119" s="656"/>
      <c r="BP119" s="657"/>
      <c r="BQ119" s="1293"/>
      <c r="BR119" s="656"/>
      <c r="BS119" s="657"/>
      <c r="BT119" s="1293"/>
      <c r="BU119" s="656"/>
      <c r="BV119" s="657"/>
      <c r="BW119" s="1293"/>
      <c r="BX119" s="656"/>
      <c r="BY119" s="657"/>
      <c r="BZ119" s="1299"/>
      <c r="CA119" s="1307"/>
    </row>
    <row r="120" spans="1:79" ht="14.25" customHeight="1">
      <c r="A120" s="1308"/>
      <c r="B120" s="1287"/>
      <c r="C120" s="1288"/>
      <c r="D120" s="1284"/>
      <c r="E120" s="1284"/>
      <c r="F120" s="1284"/>
      <c r="G120" s="1285"/>
      <c r="H120" s="1274"/>
      <c r="I120" s="176"/>
      <c r="J120" s="657"/>
      <c r="K120" s="1275"/>
      <c r="L120" s="176"/>
      <c r="M120" s="657"/>
      <c r="N120" s="1275"/>
      <c r="O120" s="176"/>
      <c r="P120" s="657"/>
      <c r="Q120" s="1275"/>
      <c r="R120" s="176"/>
      <c r="S120" s="657"/>
      <c r="T120" s="1275"/>
      <c r="U120" s="176"/>
      <c r="V120" s="657"/>
      <c r="W120" s="1275"/>
      <c r="X120" s="176"/>
      <c r="Y120" s="657"/>
      <c r="Z120" s="1275"/>
      <c r="AA120" s="176"/>
      <c r="AB120" s="657"/>
      <c r="AC120" s="1275"/>
      <c r="AD120" s="176"/>
      <c r="AE120" s="657"/>
      <c r="AF120" s="1275"/>
      <c r="AG120" s="176"/>
      <c r="AH120" s="657"/>
      <c r="AI120" s="1312" t="s">
        <v>446</v>
      </c>
      <c r="AJ120" s="1307" t="s">
        <v>446</v>
      </c>
      <c r="AK120" s="1289">
        <v>0</v>
      </c>
      <c r="AL120" s="1298">
        <v>0</v>
      </c>
      <c r="AM120" s="1289">
        <v>0</v>
      </c>
      <c r="AN120" s="1289">
        <v>0</v>
      </c>
      <c r="AO120" s="1289">
        <v>0</v>
      </c>
      <c r="AP120" s="1289">
        <v>0</v>
      </c>
      <c r="AQ120" s="1294">
        <v>0</v>
      </c>
      <c r="AR120" s="1308"/>
      <c r="AS120" s="1287"/>
      <c r="AT120" s="1288"/>
      <c r="AU120" s="1284"/>
      <c r="AV120" s="1284"/>
      <c r="AW120" s="1284"/>
      <c r="AX120" s="1285"/>
      <c r="AY120" s="1274"/>
      <c r="AZ120" s="176"/>
      <c r="BA120" s="657"/>
      <c r="BB120" s="1275"/>
      <c r="BC120" s="176"/>
      <c r="BD120" s="657"/>
      <c r="BE120" s="1275"/>
      <c r="BF120" s="176"/>
      <c r="BG120" s="657"/>
      <c r="BH120" s="1275"/>
      <c r="BI120" s="176"/>
      <c r="BJ120" s="657"/>
      <c r="BK120" s="1275"/>
      <c r="BL120" s="176"/>
      <c r="BM120" s="657"/>
      <c r="BN120" s="1275"/>
      <c r="BO120" s="176"/>
      <c r="BP120" s="657"/>
      <c r="BQ120" s="1275"/>
      <c r="BR120" s="176"/>
      <c r="BS120" s="657"/>
      <c r="BT120" s="1275"/>
      <c r="BU120" s="176"/>
      <c r="BV120" s="657"/>
      <c r="BW120" s="1275"/>
      <c r="BX120" s="176"/>
      <c r="BY120" s="657"/>
      <c r="BZ120" s="1312" t="s">
        <v>446</v>
      </c>
      <c r="CA120" s="1307" t="s">
        <v>446</v>
      </c>
    </row>
    <row r="121" spans="1:79" ht="14.25" customHeight="1">
      <c r="A121" s="1308"/>
      <c r="B121" s="1287"/>
      <c r="C121" s="1288"/>
      <c r="D121" s="1284"/>
      <c r="E121" s="1284"/>
      <c r="F121" s="1284"/>
      <c r="G121" s="1286"/>
      <c r="H121" s="1274"/>
      <c r="I121" s="176"/>
      <c r="J121" s="657"/>
      <c r="K121" s="1275"/>
      <c r="L121" s="176"/>
      <c r="M121" s="657"/>
      <c r="N121" s="1275"/>
      <c r="O121" s="176"/>
      <c r="P121" s="657"/>
      <c r="Q121" s="1275"/>
      <c r="R121" s="176"/>
      <c r="S121" s="657"/>
      <c r="T121" s="1275"/>
      <c r="U121" s="176"/>
      <c r="V121" s="657"/>
      <c r="W121" s="1275"/>
      <c r="X121" s="176"/>
      <c r="Y121" s="657"/>
      <c r="Z121" s="1275"/>
      <c r="AA121" s="176"/>
      <c r="AB121" s="657"/>
      <c r="AC121" s="1275"/>
      <c r="AD121" s="176"/>
      <c r="AE121" s="657"/>
      <c r="AF121" s="1275"/>
      <c r="AG121" s="176"/>
      <c r="AH121" s="657"/>
      <c r="AI121" s="1313"/>
      <c r="AJ121" s="1307"/>
      <c r="AK121" s="1289"/>
      <c r="AL121" s="1298"/>
      <c r="AM121" s="1289"/>
      <c r="AN121" s="1289"/>
      <c r="AO121" s="1289"/>
      <c r="AP121" s="1289"/>
      <c r="AQ121" s="1294"/>
      <c r="AR121" s="1308"/>
      <c r="AS121" s="1287"/>
      <c r="AT121" s="1288"/>
      <c r="AU121" s="1284"/>
      <c r="AV121" s="1284"/>
      <c r="AW121" s="1284"/>
      <c r="AX121" s="1286"/>
      <c r="AY121" s="1274"/>
      <c r="AZ121" s="176"/>
      <c r="BA121" s="657"/>
      <c r="BB121" s="1275"/>
      <c r="BC121" s="176"/>
      <c r="BD121" s="657"/>
      <c r="BE121" s="1275"/>
      <c r="BF121" s="176"/>
      <c r="BG121" s="657"/>
      <c r="BH121" s="1275"/>
      <c r="BI121" s="176"/>
      <c r="BJ121" s="657"/>
      <c r="BK121" s="1275"/>
      <c r="BL121" s="176"/>
      <c r="BM121" s="657"/>
      <c r="BN121" s="1275"/>
      <c r="BO121" s="176"/>
      <c r="BP121" s="657"/>
      <c r="BQ121" s="1275"/>
      <c r="BR121" s="176"/>
      <c r="BS121" s="657"/>
      <c r="BT121" s="1275"/>
      <c r="BU121" s="176"/>
      <c r="BV121" s="657"/>
      <c r="BW121" s="1275"/>
      <c r="BX121" s="176"/>
      <c r="BY121" s="657"/>
      <c r="BZ121" s="1313"/>
      <c r="CA121" s="1307"/>
    </row>
    <row r="122" spans="1:79" ht="14.25" customHeight="1">
      <c r="A122" s="1272"/>
      <c r="B122" s="1273"/>
      <c r="C122" s="1274"/>
      <c r="D122" s="1275"/>
      <c r="E122" s="1275"/>
      <c r="F122" s="1275"/>
      <c r="G122" s="1310"/>
      <c r="H122" s="1311"/>
      <c r="I122" s="656"/>
      <c r="J122" s="657"/>
      <c r="K122" s="1293"/>
      <c r="L122" s="656"/>
      <c r="M122" s="657"/>
      <c r="N122" s="1293"/>
      <c r="O122" s="656"/>
      <c r="P122" s="657"/>
      <c r="Q122" s="1293"/>
      <c r="R122" s="656"/>
      <c r="S122" s="657"/>
      <c r="T122" s="1293"/>
      <c r="U122" s="656"/>
      <c r="V122" s="657"/>
      <c r="W122" s="1293"/>
      <c r="X122" s="656"/>
      <c r="Y122" s="657"/>
      <c r="Z122" s="1293"/>
      <c r="AA122" s="656"/>
      <c r="AB122" s="657"/>
      <c r="AC122" s="1293"/>
      <c r="AD122" s="656"/>
      <c r="AE122" s="657"/>
      <c r="AF122" s="1293"/>
      <c r="AG122" s="656"/>
      <c r="AH122" s="657"/>
      <c r="AI122" s="1299" t="s">
        <v>446</v>
      </c>
      <c r="AJ122" s="1307" t="s">
        <v>446</v>
      </c>
      <c r="AK122" s="1289">
        <v>0</v>
      </c>
      <c r="AL122" s="1298">
        <v>0</v>
      </c>
      <c r="AM122" s="1289">
        <v>0</v>
      </c>
      <c r="AN122" s="1289">
        <v>0</v>
      </c>
      <c r="AO122" s="1289">
        <v>0</v>
      </c>
      <c r="AP122" s="1289">
        <v>0</v>
      </c>
      <c r="AQ122" s="1294">
        <v>0</v>
      </c>
      <c r="AR122" s="1272"/>
      <c r="AS122" s="1273"/>
      <c r="AT122" s="1274"/>
      <c r="AU122" s="1275"/>
      <c r="AV122" s="1275"/>
      <c r="AW122" s="1275"/>
      <c r="AX122" s="1310"/>
      <c r="AY122" s="1311"/>
      <c r="AZ122" s="656"/>
      <c r="BA122" s="657"/>
      <c r="BB122" s="1293"/>
      <c r="BC122" s="656"/>
      <c r="BD122" s="657"/>
      <c r="BE122" s="1293"/>
      <c r="BF122" s="656"/>
      <c r="BG122" s="657"/>
      <c r="BH122" s="1293"/>
      <c r="BI122" s="656"/>
      <c r="BJ122" s="657"/>
      <c r="BK122" s="1293"/>
      <c r="BL122" s="656"/>
      <c r="BM122" s="657"/>
      <c r="BN122" s="1293"/>
      <c r="BO122" s="656"/>
      <c r="BP122" s="657"/>
      <c r="BQ122" s="1293"/>
      <c r="BR122" s="656"/>
      <c r="BS122" s="657"/>
      <c r="BT122" s="1293"/>
      <c r="BU122" s="656"/>
      <c r="BV122" s="657"/>
      <c r="BW122" s="1293"/>
      <c r="BX122" s="656"/>
      <c r="BY122" s="657"/>
      <c r="BZ122" s="1299" t="s">
        <v>446</v>
      </c>
      <c r="CA122" s="1307" t="s">
        <v>446</v>
      </c>
    </row>
    <row r="123" spans="1:79" ht="14.25" customHeight="1">
      <c r="A123" s="1272"/>
      <c r="B123" s="1273"/>
      <c r="C123" s="1274"/>
      <c r="D123" s="1275"/>
      <c r="E123" s="1275"/>
      <c r="F123" s="1275"/>
      <c r="G123" s="1310"/>
      <c r="H123" s="1311"/>
      <c r="I123" s="656"/>
      <c r="J123" s="657"/>
      <c r="K123" s="1293"/>
      <c r="L123" s="656"/>
      <c r="M123" s="657"/>
      <c r="N123" s="1293"/>
      <c r="O123" s="656"/>
      <c r="P123" s="657"/>
      <c r="Q123" s="1293"/>
      <c r="R123" s="656"/>
      <c r="S123" s="657"/>
      <c r="T123" s="1293"/>
      <c r="U123" s="656"/>
      <c r="V123" s="657"/>
      <c r="W123" s="1293"/>
      <c r="X123" s="656"/>
      <c r="Y123" s="657"/>
      <c r="Z123" s="1293"/>
      <c r="AA123" s="656"/>
      <c r="AB123" s="657"/>
      <c r="AC123" s="1293"/>
      <c r="AD123" s="656"/>
      <c r="AE123" s="657"/>
      <c r="AF123" s="1293"/>
      <c r="AG123" s="656"/>
      <c r="AH123" s="657"/>
      <c r="AI123" s="1299"/>
      <c r="AJ123" s="1307"/>
      <c r="AK123" s="1289"/>
      <c r="AL123" s="1298"/>
      <c r="AM123" s="1289"/>
      <c r="AN123" s="1289"/>
      <c r="AO123" s="1289"/>
      <c r="AP123" s="1289"/>
      <c r="AQ123" s="1294"/>
      <c r="AR123" s="1272"/>
      <c r="AS123" s="1273"/>
      <c r="AT123" s="1274"/>
      <c r="AU123" s="1275"/>
      <c r="AV123" s="1275"/>
      <c r="AW123" s="1275"/>
      <c r="AX123" s="1310"/>
      <c r="AY123" s="1311"/>
      <c r="AZ123" s="656"/>
      <c r="BA123" s="657"/>
      <c r="BB123" s="1293"/>
      <c r="BC123" s="656"/>
      <c r="BD123" s="657"/>
      <c r="BE123" s="1293"/>
      <c r="BF123" s="656"/>
      <c r="BG123" s="657"/>
      <c r="BH123" s="1293"/>
      <c r="BI123" s="656"/>
      <c r="BJ123" s="657"/>
      <c r="BK123" s="1293"/>
      <c r="BL123" s="656"/>
      <c r="BM123" s="657"/>
      <c r="BN123" s="1293"/>
      <c r="BO123" s="656"/>
      <c r="BP123" s="657"/>
      <c r="BQ123" s="1293"/>
      <c r="BR123" s="656"/>
      <c r="BS123" s="657"/>
      <c r="BT123" s="1293"/>
      <c r="BU123" s="656"/>
      <c r="BV123" s="657"/>
      <c r="BW123" s="1293"/>
      <c r="BX123" s="656"/>
      <c r="BY123" s="657"/>
      <c r="BZ123" s="1299"/>
      <c r="CA123" s="1307"/>
    </row>
    <row r="124" spans="1:79" ht="14.25" customHeight="1">
      <c r="A124" s="1308"/>
      <c r="B124" s="1287"/>
      <c r="C124" s="1288"/>
      <c r="D124" s="1284"/>
      <c r="E124" s="1284"/>
      <c r="F124" s="1284"/>
      <c r="G124" s="1285"/>
      <c r="H124" s="1274"/>
      <c r="I124" s="176"/>
      <c r="J124" s="657"/>
      <c r="K124" s="1275"/>
      <c r="L124" s="176"/>
      <c r="M124" s="657"/>
      <c r="N124" s="1275"/>
      <c r="O124" s="176"/>
      <c r="P124" s="657"/>
      <c r="Q124" s="1275"/>
      <c r="R124" s="176"/>
      <c r="S124" s="657"/>
      <c r="T124" s="1275"/>
      <c r="U124" s="176"/>
      <c r="V124" s="657"/>
      <c r="W124" s="1275"/>
      <c r="X124" s="176"/>
      <c r="Y124" s="657"/>
      <c r="Z124" s="1275"/>
      <c r="AA124" s="176"/>
      <c r="AB124" s="657"/>
      <c r="AC124" s="1275"/>
      <c r="AD124" s="176"/>
      <c r="AE124" s="657"/>
      <c r="AF124" s="1275"/>
      <c r="AG124" s="176"/>
      <c r="AH124" s="657"/>
      <c r="AI124" s="1312" t="s">
        <v>446</v>
      </c>
      <c r="AJ124" s="1307" t="s">
        <v>446</v>
      </c>
      <c r="AK124" s="1289">
        <v>0</v>
      </c>
      <c r="AL124" s="1298">
        <v>0</v>
      </c>
      <c r="AM124" s="1289">
        <v>0</v>
      </c>
      <c r="AN124" s="1289">
        <v>0</v>
      </c>
      <c r="AO124" s="1289">
        <v>0</v>
      </c>
      <c r="AP124" s="1289">
        <v>0</v>
      </c>
      <c r="AQ124" s="1294">
        <v>0</v>
      </c>
      <c r="AR124" s="1308"/>
      <c r="AS124" s="1287"/>
      <c r="AT124" s="1288"/>
      <c r="AU124" s="1284"/>
      <c r="AV124" s="1284"/>
      <c r="AW124" s="1284"/>
      <c r="AX124" s="1285"/>
      <c r="AY124" s="1274"/>
      <c r="AZ124" s="176"/>
      <c r="BA124" s="657"/>
      <c r="BB124" s="1275"/>
      <c r="BC124" s="176"/>
      <c r="BD124" s="657"/>
      <c r="BE124" s="1275"/>
      <c r="BF124" s="176"/>
      <c r="BG124" s="657"/>
      <c r="BH124" s="1275"/>
      <c r="BI124" s="176"/>
      <c r="BJ124" s="657"/>
      <c r="BK124" s="1275"/>
      <c r="BL124" s="176"/>
      <c r="BM124" s="657"/>
      <c r="BN124" s="1275"/>
      <c r="BO124" s="176"/>
      <c r="BP124" s="657"/>
      <c r="BQ124" s="1275"/>
      <c r="BR124" s="176"/>
      <c r="BS124" s="657"/>
      <c r="BT124" s="1275"/>
      <c r="BU124" s="176"/>
      <c r="BV124" s="657"/>
      <c r="BW124" s="1275"/>
      <c r="BX124" s="176"/>
      <c r="BY124" s="657"/>
      <c r="BZ124" s="1312" t="s">
        <v>446</v>
      </c>
      <c r="CA124" s="1307" t="s">
        <v>446</v>
      </c>
    </row>
    <row r="125" spans="1:79" ht="14.25" customHeight="1">
      <c r="A125" s="1308"/>
      <c r="B125" s="1287"/>
      <c r="C125" s="1288"/>
      <c r="D125" s="1284"/>
      <c r="E125" s="1284"/>
      <c r="F125" s="1284"/>
      <c r="G125" s="1286"/>
      <c r="H125" s="1274"/>
      <c r="I125" s="176"/>
      <c r="J125" s="657"/>
      <c r="K125" s="1275"/>
      <c r="L125" s="176"/>
      <c r="M125" s="657"/>
      <c r="N125" s="1275"/>
      <c r="O125" s="176"/>
      <c r="P125" s="657"/>
      <c r="Q125" s="1275"/>
      <c r="R125" s="176"/>
      <c r="S125" s="657"/>
      <c r="T125" s="1275"/>
      <c r="U125" s="176"/>
      <c r="V125" s="657"/>
      <c r="W125" s="1275"/>
      <c r="X125" s="176"/>
      <c r="Y125" s="657"/>
      <c r="Z125" s="1275"/>
      <c r="AA125" s="176"/>
      <c r="AB125" s="657"/>
      <c r="AC125" s="1275"/>
      <c r="AD125" s="176"/>
      <c r="AE125" s="657"/>
      <c r="AF125" s="1275"/>
      <c r="AG125" s="176"/>
      <c r="AH125" s="657"/>
      <c r="AI125" s="1313"/>
      <c r="AJ125" s="1307"/>
      <c r="AK125" s="1289"/>
      <c r="AL125" s="1298"/>
      <c r="AM125" s="1289"/>
      <c r="AN125" s="1289"/>
      <c r="AO125" s="1289"/>
      <c r="AP125" s="1289"/>
      <c r="AQ125" s="1294"/>
      <c r="AR125" s="1308"/>
      <c r="AS125" s="1287"/>
      <c r="AT125" s="1288"/>
      <c r="AU125" s="1284"/>
      <c r="AV125" s="1284"/>
      <c r="AW125" s="1284"/>
      <c r="AX125" s="1286"/>
      <c r="AY125" s="1274"/>
      <c r="AZ125" s="176"/>
      <c r="BA125" s="657"/>
      <c r="BB125" s="1275"/>
      <c r="BC125" s="176"/>
      <c r="BD125" s="657"/>
      <c r="BE125" s="1275"/>
      <c r="BF125" s="176"/>
      <c r="BG125" s="657"/>
      <c r="BH125" s="1275"/>
      <c r="BI125" s="176"/>
      <c r="BJ125" s="657"/>
      <c r="BK125" s="1275"/>
      <c r="BL125" s="176"/>
      <c r="BM125" s="657"/>
      <c r="BN125" s="1275"/>
      <c r="BO125" s="176"/>
      <c r="BP125" s="657"/>
      <c r="BQ125" s="1275"/>
      <c r="BR125" s="176"/>
      <c r="BS125" s="657"/>
      <c r="BT125" s="1275"/>
      <c r="BU125" s="176"/>
      <c r="BV125" s="657"/>
      <c r="BW125" s="1275"/>
      <c r="BX125" s="176"/>
      <c r="BY125" s="657"/>
      <c r="BZ125" s="1313"/>
      <c r="CA125" s="1307"/>
    </row>
    <row r="126" spans="1:79" ht="14.25" customHeight="1">
      <c r="A126" s="1272"/>
      <c r="B126" s="1273"/>
      <c r="C126" s="1274"/>
      <c r="D126" s="1275"/>
      <c r="E126" s="1275"/>
      <c r="F126" s="1275"/>
      <c r="G126" s="1310"/>
      <c r="H126" s="1311"/>
      <c r="I126" s="656"/>
      <c r="J126" s="657"/>
      <c r="K126" s="1293"/>
      <c r="L126" s="656"/>
      <c r="M126" s="657"/>
      <c r="N126" s="1293"/>
      <c r="O126" s="656"/>
      <c r="P126" s="657"/>
      <c r="Q126" s="1293"/>
      <c r="R126" s="656"/>
      <c r="S126" s="657"/>
      <c r="T126" s="1293"/>
      <c r="U126" s="656"/>
      <c r="V126" s="657"/>
      <c r="W126" s="1293"/>
      <c r="X126" s="656"/>
      <c r="Y126" s="657"/>
      <c r="Z126" s="1293"/>
      <c r="AA126" s="656"/>
      <c r="AB126" s="657"/>
      <c r="AC126" s="1293"/>
      <c r="AD126" s="656"/>
      <c r="AE126" s="657"/>
      <c r="AF126" s="1293"/>
      <c r="AG126" s="656"/>
      <c r="AH126" s="657"/>
      <c r="AI126" s="1299" t="s">
        <v>446</v>
      </c>
      <c r="AJ126" s="1307" t="s">
        <v>446</v>
      </c>
      <c r="AK126" s="1289">
        <v>0</v>
      </c>
      <c r="AL126" s="1298">
        <v>0</v>
      </c>
      <c r="AM126" s="1289">
        <v>0</v>
      </c>
      <c r="AN126" s="1289">
        <v>0</v>
      </c>
      <c r="AO126" s="1289">
        <v>0</v>
      </c>
      <c r="AP126" s="1289">
        <v>0</v>
      </c>
      <c r="AQ126" s="1294">
        <v>0</v>
      </c>
      <c r="AR126" s="1272"/>
      <c r="AS126" s="1273"/>
      <c r="AT126" s="1274"/>
      <c r="AU126" s="1275"/>
      <c r="AV126" s="1275"/>
      <c r="AW126" s="1275"/>
      <c r="AX126" s="1310"/>
      <c r="AY126" s="1311"/>
      <c r="AZ126" s="656"/>
      <c r="BA126" s="657"/>
      <c r="BB126" s="1293"/>
      <c r="BC126" s="656"/>
      <c r="BD126" s="657"/>
      <c r="BE126" s="1293"/>
      <c r="BF126" s="656"/>
      <c r="BG126" s="657"/>
      <c r="BH126" s="1293"/>
      <c r="BI126" s="656"/>
      <c r="BJ126" s="657"/>
      <c r="BK126" s="1293"/>
      <c r="BL126" s="656"/>
      <c r="BM126" s="657"/>
      <c r="BN126" s="1293"/>
      <c r="BO126" s="656"/>
      <c r="BP126" s="657"/>
      <c r="BQ126" s="1293"/>
      <c r="BR126" s="656"/>
      <c r="BS126" s="657"/>
      <c r="BT126" s="1293"/>
      <c r="BU126" s="656"/>
      <c r="BV126" s="657"/>
      <c r="BW126" s="1293"/>
      <c r="BX126" s="656"/>
      <c r="BY126" s="657"/>
      <c r="BZ126" s="1299" t="s">
        <v>446</v>
      </c>
      <c r="CA126" s="1307" t="s">
        <v>446</v>
      </c>
    </row>
    <row r="127" spans="1:79" ht="14.25" customHeight="1">
      <c r="A127" s="1272"/>
      <c r="B127" s="1273"/>
      <c r="C127" s="1274"/>
      <c r="D127" s="1275"/>
      <c r="E127" s="1275"/>
      <c r="F127" s="1275"/>
      <c r="G127" s="1310"/>
      <c r="H127" s="1311"/>
      <c r="I127" s="656"/>
      <c r="J127" s="657"/>
      <c r="K127" s="1293"/>
      <c r="L127" s="656"/>
      <c r="M127" s="657"/>
      <c r="N127" s="1293"/>
      <c r="O127" s="656"/>
      <c r="P127" s="657"/>
      <c r="Q127" s="1293"/>
      <c r="R127" s="656"/>
      <c r="S127" s="657"/>
      <c r="T127" s="1293"/>
      <c r="U127" s="656"/>
      <c r="V127" s="657"/>
      <c r="W127" s="1293"/>
      <c r="X127" s="656"/>
      <c r="Y127" s="657"/>
      <c r="Z127" s="1293"/>
      <c r="AA127" s="656"/>
      <c r="AB127" s="657"/>
      <c r="AC127" s="1293"/>
      <c r="AD127" s="656"/>
      <c r="AE127" s="657"/>
      <c r="AF127" s="1293"/>
      <c r="AG127" s="656"/>
      <c r="AH127" s="657"/>
      <c r="AI127" s="1299"/>
      <c r="AJ127" s="1307"/>
      <c r="AK127" s="1289"/>
      <c r="AL127" s="1298"/>
      <c r="AM127" s="1289"/>
      <c r="AN127" s="1289"/>
      <c r="AO127" s="1289"/>
      <c r="AP127" s="1289"/>
      <c r="AQ127" s="1294"/>
      <c r="AR127" s="1272"/>
      <c r="AS127" s="1273"/>
      <c r="AT127" s="1274"/>
      <c r="AU127" s="1275"/>
      <c r="AV127" s="1275"/>
      <c r="AW127" s="1275"/>
      <c r="AX127" s="1310"/>
      <c r="AY127" s="1311"/>
      <c r="AZ127" s="656"/>
      <c r="BA127" s="657"/>
      <c r="BB127" s="1293"/>
      <c r="BC127" s="656"/>
      <c r="BD127" s="657"/>
      <c r="BE127" s="1293"/>
      <c r="BF127" s="656"/>
      <c r="BG127" s="657"/>
      <c r="BH127" s="1293"/>
      <c r="BI127" s="656"/>
      <c r="BJ127" s="657"/>
      <c r="BK127" s="1293"/>
      <c r="BL127" s="656"/>
      <c r="BM127" s="657"/>
      <c r="BN127" s="1293"/>
      <c r="BO127" s="656"/>
      <c r="BP127" s="657"/>
      <c r="BQ127" s="1293"/>
      <c r="BR127" s="656"/>
      <c r="BS127" s="657"/>
      <c r="BT127" s="1293"/>
      <c r="BU127" s="656"/>
      <c r="BV127" s="657"/>
      <c r="BW127" s="1293"/>
      <c r="BX127" s="656"/>
      <c r="BY127" s="657"/>
      <c r="BZ127" s="1299"/>
      <c r="CA127" s="1307"/>
    </row>
    <row r="128" spans="1:79" ht="14.25" customHeight="1">
      <c r="A128" s="1308"/>
      <c r="B128" s="1287"/>
      <c r="C128" s="1288"/>
      <c r="D128" s="1284"/>
      <c r="E128" s="1284"/>
      <c r="F128" s="1284"/>
      <c r="G128" s="1285"/>
      <c r="H128" s="1274"/>
      <c r="I128" s="176"/>
      <c r="J128" s="657"/>
      <c r="K128" s="1275"/>
      <c r="L128" s="176"/>
      <c r="M128" s="657"/>
      <c r="N128" s="1275"/>
      <c r="O128" s="176"/>
      <c r="P128" s="657"/>
      <c r="Q128" s="1275"/>
      <c r="R128" s="176"/>
      <c r="S128" s="657"/>
      <c r="T128" s="1275"/>
      <c r="U128" s="176"/>
      <c r="V128" s="657"/>
      <c r="W128" s="1275"/>
      <c r="X128" s="176"/>
      <c r="Y128" s="657"/>
      <c r="Z128" s="1275"/>
      <c r="AA128" s="176"/>
      <c r="AB128" s="657"/>
      <c r="AC128" s="1275"/>
      <c r="AD128" s="176"/>
      <c r="AE128" s="657"/>
      <c r="AF128" s="1275"/>
      <c r="AG128" s="176"/>
      <c r="AH128" s="657"/>
      <c r="AI128" s="1312" t="s">
        <v>446</v>
      </c>
      <c r="AJ128" s="1307" t="s">
        <v>446</v>
      </c>
      <c r="AK128" s="1289">
        <v>0</v>
      </c>
      <c r="AL128" s="1298">
        <v>0</v>
      </c>
      <c r="AM128" s="1289">
        <v>0</v>
      </c>
      <c r="AN128" s="1289">
        <v>0</v>
      </c>
      <c r="AO128" s="1289">
        <v>0</v>
      </c>
      <c r="AP128" s="1289">
        <v>0</v>
      </c>
      <c r="AQ128" s="1294">
        <v>0</v>
      </c>
      <c r="AR128" s="1308"/>
      <c r="AS128" s="1287"/>
      <c r="AT128" s="1288"/>
      <c r="AU128" s="1284"/>
      <c r="AV128" s="1284"/>
      <c r="AW128" s="1284"/>
      <c r="AX128" s="1285"/>
      <c r="AY128" s="1274"/>
      <c r="AZ128" s="176"/>
      <c r="BA128" s="657"/>
      <c r="BB128" s="1275"/>
      <c r="BC128" s="176"/>
      <c r="BD128" s="657"/>
      <c r="BE128" s="1275"/>
      <c r="BF128" s="176"/>
      <c r="BG128" s="657"/>
      <c r="BH128" s="1275"/>
      <c r="BI128" s="176"/>
      <c r="BJ128" s="657"/>
      <c r="BK128" s="1275"/>
      <c r="BL128" s="176"/>
      <c r="BM128" s="657"/>
      <c r="BN128" s="1275"/>
      <c r="BO128" s="176"/>
      <c r="BP128" s="657"/>
      <c r="BQ128" s="1275"/>
      <c r="BR128" s="176"/>
      <c r="BS128" s="657"/>
      <c r="BT128" s="1275"/>
      <c r="BU128" s="176"/>
      <c r="BV128" s="657"/>
      <c r="BW128" s="1275"/>
      <c r="BX128" s="176"/>
      <c r="BY128" s="657"/>
      <c r="BZ128" s="1312" t="s">
        <v>446</v>
      </c>
      <c r="CA128" s="1307" t="s">
        <v>446</v>
      </c>
    </row>
    <row r="129" spans="1:79" ht="14.25" customHeight="1">
      <c r="A129" s="1308"/>
      <c r="B129" s="1287"/>
      <c r="C129" s="1288"/>
      <c r="D129" s="1284"/>
      <c r="E129" s="1284"/>
      <c r="F129" s="1284"/>
      <c r="G129" s="1286"/>
      <c r="H129" s="1274"/>
      <c r="I129" s="176"/>
      <c r="J129" s="657"/>
      <c r="K129" s="1275"/>
      <c r="L129" s="176"/>
      <c r="M129" s="657"/>
      <c r="N129" s="1275"/>
      <c r="O129" s="176"/>
      <c r="P129" s="657"/>
      <c r="Q129" s="1275"/>
      <c r="R129" s="176"/>
      <c r="S129" s="657"/>
      <c r="T129" s="1275"/>
      <c r="U129" s="176"/>
      <c r="V129" s="657"/>
      <c r="W129" s="1275"/>
      <c r="X129" s="176"/>
      <c r="Y129" s="657"/>
      <c r="Z129" s="1275"/>
      <c r="AA129" s="176"/>
      <c r="AB129" s="657"/>
      <c r="AC129" s="1275"/>
      <c r="AD129" s="176"/>
      <c r="AE129" s="657"/>
      <c r="AF129" s="1275"/>
      <c r="AG129" s="176"/>
      <c r="AH129" s="657"/>
      <c r="AI129" s="1313"/>
      <c r="AJ129" s="1307"/>
      <c r="AK129" s="1289"/>
      <c r="AL129" s="1298"/>
      <c r="AM129" s="1289"/>
      <c r="AN129" s="1289"/>
      <c r="AO129" s="1289"/>
      <c r="AP129" s="1289"/>
      <c r="AQ129" s="1294"/>
      <c r="AR129" s="1308"/>
      <c r="AS129" s="1287"/>
      <c r="AT129" s="1288"/>
      <c r="AU129" s="1284"/>
      <c r="AV129" s="1284"/>
      <c r="AW129" s="1284"/>
      <c r="AX129" s="1286"/>
      <c r="AY129" s="1274"/>
      <c r="AZ129" s="176"/>
      <c r="BA129" s="657"/>
      <c r="BB129" s="1275"/>
      <c r="BC129" s="176"/>
      <c r="BD129" s="657"/>
      <c r="BE129" s="1275"/>
      <c r="BF129" s="176"/>
      <c r="BG129" s="657"/>
      <c r="BH129" s="1275"/>
      <c r="BI129" s="176"/>
      <c r="BJ129" s="657"/>
      <c r="BK129" s="1275"/>
      <c r="BL129" s="176"/>
      <c r="BM129" s="657"/>
      <c r="BN129" s="1275"/>
      <c r="BO129" s="176"/>
      <c r="BP129" s="657"/>
      <c r="BQ129" s="1275"/>
      <c r="BR129" s="176"/>
      <c r="BS129" s="657"/>
      <c r="BT129" s="1275"/>
      <c r="BU129" s="176"/>
      <c r="BV129" s="657"/>
      <c r="BW129" s="1275"/>
      <c r="BX129" s="176"/>
      <c r="BY129" s="657"/>
      <c r="BZ129" s="1313"/>
      <c r="CA129" s="1307"/>
    </row>
    <row r="130" spans="1:79" ht="14.25" customHeight="1">
      <c r="A130" s="1272"/>
      <c r="B130" s="1273"/>
      <c r="C130" s="1274"/>
      <c r="D130" s="1275"/>
      <c r="E130" s="1275"/>
      <c r="F130" s="1275"/>
      <c r="G130" s="1310"/>
      <c r="H130" s="1311"/>
      <c r="I130" s="656"/>
      <c r="J130" s="657"/>
      <c r="K130" s="1293"/>
      <c r="L130" s="656"/>
      <c r="M130" s="657"/>
      <c r="N130" s="1293"/>
      <c r="O130" s="656"/>
      <c r="P130" s="657"/>
      <c r="Q130" s="1293"/>
      <c r="R130" s="656"/>
      <c r="S130" s="657"/>
      <c r="T130" s="1293"/>
      <c r="U130" s="656"/>
      <c r="V130" s="657"/>
      <c r="W130" s="1293"/>
      <c r="X130" s="656"/>
      <c r="Y130" s="657"/>
      <c r="Z130" s="1293"/>
      <c r="AA130" s="656"/>
      <c r="AB130" s="657"/>
      <c r="AC130" s="1293"/>
      <c r="AD130" s="656"/>
      <c r="AE130" s="657"/>
      <c r="AF130" s="1293"/>
      <c r="AG130" s="656"/>
      <c r="AH130" s="657"/>
      <c r="AI130" s="1299" t="s">
        <v>446</v>
      </c>
      <c r="AJ130" s="1307" t="s">
        <v>446</v>
      </c>
      <c r="AK130" s="1289">
        <v>0</v>
      </c>
      <c r="AL130" s="1298">
        <v>0</v>
      </c>
      <c r="AM130" s="1289">
        <v>0</v>
      </c>
      <c r="AN130" s="1289">
        <v>0</v>
      </c>
      <c r="AO130" s="1289">
        <v>0</v>
      </c>
      <c r="AP130" s="1289">
        <v>0</v>
      </c>
      <c r="AQ130" s="1294">
        <v>0</v>
      </c>
      <c r="AR130" s="1272"/>
      <c r="AS130" s="1273"/>
      <c r="AT130" s="1274"/>
      <c r="AU130" s="1275"/>
      <c r="AV130" s="1275"/>
      <c r="AW130" s="1275"/>
      <c r="AX130" s="1310"/>
      <c r="AY130" s="1311"/>
      <c r="AZ130" s="656"/>
      <c r="BA130" s="657"/>
      <c r="BB130" s="1293"/>
      <c r="BC130" s="656"/>
      <c r="BD130" s="657"/>
      <c r="BE130" s="1293"/>
      <c r="BF130" s="656"/>
      <c r="BG130" s="657"/>
      <c r="BH130" s="1293"/>
      <c r="BI130" s="656"/>
      <c r="BJ130" s="657"/>
      <c r="BK130" s="1293"/>
      <c r="BL130" s="656"/>
      <c r="BM130" s="657"/>
      <c r="BN130" s="1293"/>
      <c r="BO130" s="656"/>
      <c r="BP130" s="657"/>
      <c r="BQ130" s="1293"/>
      <c r="BR130" s="656"/>
      <c r="BS130" s="657"/>
      <c r="BT130" s="1293"/>
      <c r="BU130" s="656"/>
      <c r="BV130" s="657"/>
      <c r="BW130" s="1293"/>
      <c r="BX130" s="656"/>
      <c r="BY130" s="657"/>
      <c r="BZ130" s="1299" t="s">
        <v>446</v>
      </c>
      <c r="CA130" s="1307" t="s">
        <v>446</v>
      </c>
    </row>
    <row r="131" spans="1:79" ht="14.25" customHeight="1">
      <c r="A131" s="1272"/>
      <c r="B131" s="1273"/>
      <c r="C131" s="1274"/>
      <c r="D131" s="1275"/>
      <c r="E131" s="1275"/>
      <c r="F131" s="1275"/>
      <c r="G131" s="1310"/>
      <c r="H131" s="1311"/>
      <c r="I131" s="656"/>
      <c r="J131" s="657"/>
      <c r="K131" s="1293"/>
      <c r="L131" s="656"/>
      <c r="M131" s="657"/>
      <c r="N131" s="1293"/>
      <c r="O131" s="656"/>
      <c r="P131" s="657"/>
      <c r="Q131" s="1293"/>
      <c r="R131" s="656"/>
      <c r="S131" s="657"/>
      <c r="T131" s="1293"/>
      <c r="U131" s="656"/>
      <c r="V131" s="657"/>
      <c r="W131" s="1293"/>
      <c r="X131" s="656"/>
      <c r="Y131" s="657"/>
      <c r="Z131" s="1293"/>
      <c r="AA131" s="656"/>
      <c r="AB131" s="657"/>
      <c r="AC131" s="1293"/>
      <c r="AD131" s="656"/>
      <c r="AE131" s="657"/>
      <c r="AF131" s="1293"/>
      <c r="AG131" s="656"/>
      <c r="AH131" s="657"/>
      <c r="AI131" s="1299"/>
      <c r="AJ131" s="1307"/>
      <c r="AK131" s="1289"/>
      <c r="AL131" s="1298"/>
      <c r="AM131" s="1289"/>
      <c r="AN131" s="1289"/>
      <c r="AO131" s="1289"/>
      <c r="AP131" s="1289"/>
      <c r="AQ131" s="1294"/>
      <c r="AR131" s="1272"/>
      <c r="AS131" s="1273"/>
      <c r="AT131" s="1274"/>
      <c r="AU131" s="1275"/>
      <c r="AV131" s="1275"/>
      <c r="AW131" s="1275"/>
      <c r="AX131" s="1310"/>
      <c r="AY131" s="1311"/>
      <c r="AZ131" s="656"/>
      <c r="BA131" s="657"/>
      <c r="BB131" s="1293"/>
      <c r="BC131" s="656"/>
      <c r="BD131" s="657"/>
      <c r="BE131" s="1293"/>
      <c r="BF131" s="656"/>
      <c r="BG131" s="657"/>
      <c r="BH131" s="1293"/>
      <c r="BI131" s="656"/>
      <c r="BJ131" s="657"/>
      <c r="BK131" s="1293"/>
      <c r="BL131" s="656"/>
      <c r="BM131" s="657"/>
      <c r="BN131" s="1293"/>
      <c r="BO131" s="656"/>
      <c r="BP131" s="657"/>
      <c r="BQ131" s="1293"/>
      <c r="BR131" s="656"/>
      <c r="BS131" s="657"/>
      <c r="BT131" s="1293"/>
      <c r="BU131" s="656"/>
      <c r="BV131" s="657"/>
      <c r="BW131" s="1293"/>
      <c r="BX131" s="656"/>
      <c r="BY131" s="657"/>
      <c r="BZ131" s="1299"/>
      <c r="CA131" s="1307"/>
    </row>
    <row r="132" spans="1:79" ht="14.25" customHeight="1">
      <c r="A132" s="1308"/>
      <c r="B132" s="1287"/>
      <c r="C132" s="1288"/>
      <c r="D132" s="1284"/>
      <c r="E132" s="1284"/>
      <c r="F132" s="1284"/>
      <c r="G132" s="1285"/>
      <c r="H132" s="1274"/>
      <c r="I132" s="176"/>
      <c r="J132" s="657"/>
      <c r="K132" s="1275"/>
      <c r="L132" s="176"/>
      <c r="M132" s="657"/>
      <c r="N132" s="1275"/>
      <c r="O132" s="176"/>
      <c r="P132" s="657"/>
      <c r="Q132" s="1275"/>
      <c r="R132" s="176"/>
      <c r="S132" s="657"/>
      <c r="T132" s="1275"/>
      <c r="U132" s="176"/>
      <c r="V132" s="657"/>
      <c r="W132" s="1275"/>
      <c r="X132" s="176"/>
      <c r="Y132" s="657"/>
      <c r="Z132" s="1275"/>
      <c r="AA132" s="176"/>
      <c r="AB132" s="657"/>
      <c r="AC132" s="1275"/>
      <c r="AD132" s="176"/>
      <c r="AE132" s="657"/>
      <c r="AF132" s="1275"/>
      <c r="AG132" s="176"/>
      <c r="AH132" s="657"/>
      <c r="AI132" s="1312" t="s">
        <v>446</v>
      </c>
      <c r="AJ132" s="1307" t="s">
        <v>446</v>
      </c>
      <c r="AK132" s="1289">
        <v>0</v>
      </c>
      <c r="AL132" s="1298">
        <v>0</v>
      </c>
      <c r="AM132" s="1289">
        <v>0</v>
      </c>
      <c r="AN132" s="1289">
        <v>0</v>
      </c>
      <c r="AO132" s="1289">
        <v>0</v>
      </c>
      <c r="AP132" s="1289">
        <v>0</v>
      </c>
      <c r="AQ132" s="1294">
        <v>0</v>
      </c>
      <c r="AR132" s="1308"/>
      <c r="AS132" s="1287"/>
      <c r="AT132" s="1288"/>
      <c r="AU132" s="1284"/>
      <c r="AV132" s="1284"/>
      <c r="AW132" s="1284"/>
      <c r="AX132" s="1285"/>
      <c r="AY132" s="1274"/>
      <c r="AZ132" s="176"/>
      <c r="BA132" s="657"/>
      <c r="BB132" s="1275"/>
      <c r="BC132" s="176"/>
      <c r="BD132" s="657"/>
      <c r="BE132" s="1275"/>
      <c r="BF132" s="176"/>
      <c r="BG132" s="657"/>
      <c r="BH132" s="1275"/>
      <c r="BI132" s="176"/>
      <c r="BJ132" s="657"/>
      <c r="BK132" s="1275"/>
      <c r="BL132" s="176"/>
      <c r="BM132" s="657"/>
      <c r="BN132" s="1275"/>
      <c r="BO132" s="176"/>
      <c r="BP132" s="657"/>
      <c r="BQ132" s="1275"/>
      <c r="BR132" s="176"/>
      <c r="BS132" s="657"/>
      <c r="BT132" s="1275"/>
      <c r="BU132" s="176"/>
      <c r="BV132" s="657"/>
      <c r="BW132" s="1275"/>
      <c r="BX132" s="176"/>
      <c r="BY132" s="657"/>
      <c r="BZ132" s="1312" t="s">
        <v>446</v>
      </c>
      <c r="CA132" s="1307" t="s">
        <v>446</v>
      </c>
    </row>
    <row r="133" spans="1:79" ht="14.25" customHeight="1" thickBot="1">
      <c r="A133" s="1308"/>
      <c r="B133" s="1287"/>
      <c r="C133" s="1288"/>
      <c r="D133" s="1284"/>
      <c r="E133" s="1284"/>
      <c r="F133" s="1284"/>
      <c r="G133" s="1286"/>
      <c r="H133" s="1274"/>
      <c r="I133" s="176"/>
      <c r="J133" s="657"/>
      <c r="K133" s="1275"/>
      <c r="L133" s="176"/>
      <c r="M133" s="657"/>
      <c r="N133" s="1275"/>
      <c r="O133" s="176"/>
      <c r="P133" s="657"/>
      <c r="Q133" s="1275"/>
      <c r="R133" s="176"/>
      <c r="S133" s="657"/>
      <c r="T133" s="1275"/>
      <c r="U133" s="176"/>
      <c r="V133" s="657"/>
      <c r="W133" s="1275"/>
      <c r="X133" s="176"/>
      <c r="Y133" s="657"/>
      <c r="Z133" s="1275"/>
      <c r="AA133" s="176"/>
      <c r="AB133" s="657"/>
      <c r="AC133" s="1275"/>
      <c r="AD133" s="176"/>
      <c r="AE133" s="657"/>
      <c r="AF133" s="1275"/>
      <c r="AG133" s="176"/>
      <c r="AH133" s="657"/>
      <c r="AI133" s="1313"/>
      <c r="AJ133" s="1307"/>
      <c r="AK133" s="1289"/>
      <c r="AL133" s="1298"/>
      <c r="AM133" s="1289"/>
      <c r="AN133" s="1289"/>
      <c r="AO133" s="1289"/>
      <c r="AP133" s="1289"/>
      <c r="AQ133" s="1294"/>
      <c r="AR133" s="1308"/>
      <c r="AS133" s="1287"/>
      <c r="AT133" s="1288"/>
      <c r="AU133" s="1284"/>
      <c r="AV133" s="1284"/>
      <c r="AW133" s="1284"/>
      <c r="AX133" s="1286"/>
      <c r="AY133" s="1274"/>
      <c r="AZ133" s="176"/>
      <c r="BA133" s="657"/>
      <c r="BB133" s="1275"/>
      <c r="BC133" s="176"/>
      <c r="BD133" s="657"/>
      <c r="BE133" s="1275"/>
      <c r="BF133" s="176"/>
      <c r="BG133" s="657"/>
      <c r="BH133" s="1275"/>
      <c r="BI133" s="176"/>
      <c r="BJ133" s="657"/>
      <c r="BK133" s="1275"/>
      <c r="BL133" s="176"/>
      <c r="BM133" s="657"/>
      <c r="BN133" s="1275"/>
      <c r="BO133" s="176"/>
      <c r="BP133" s="657"/>
      <c r="BQ133" s="1275"/>
      <c r="BR133" s="176"/>
      <c r="BS133" s="657"/>
      <c r="BT133" s="1275"/>
      <c r="BU133" s="176"/>
      <c r="BV133" s="657"/>
      <c r="BW133" s="1275"/>
      <c r="BX133" s="176"/>
      <c r="BY133" s="657"/>
      <c r="BZ133" s="1313"/>
      <c r="CA133" s="1307"/>
    </row>
    <row r="134" spans="1:79" ht="14.25" customHeight="1" thickBot="1">
      <c r="A134" s="1314" t="s">
        <v>446</v>
      </c>
      <c r="B134" s="1316" t="s">
        <v>523</v>
      </c>
      <c r="C134" s="1318">
        <v>2</v>
      </c>
      <c r="D134" s="1319">
        <v>8</v>
      </c>
      <c r="E134" s="1319">
        <v>5</v>
      </c>
      <c r="F134" s="1319" t="s">
        <v>446</v>
      </c>
      <c r="G134" s="1319" t="s">
        <v>446</v>
      </c>
      <c r="H134" s="1314">
        <v>40</v>
      </c>
      <c r="I134" s="658"/>
      <c r="J134" s="658"/>
      <c r="K134" s="1321">
        <v>18</v>
      </c>
      <c r="L134" s="658"/>
      <c r="M134" s="658"/>
      <c r="N134" s="1321">
        <v>9</v>
      </c>
      <c r="O134" s="658"/>
      <c r="P134" s="658"/>
      <c r="Q134" s="1321" t="s">
        <v>446</v>
      </c>
      <c r="R134" s="658"/>
      <c r="S134" s="658"/>
      <c r="T134" s="1321" t="s">
        <v>446</v>
      </c>
      <c r="U134" s="658"/>
      <c r="V134" s="658"/>
      <c r="W134" s="1321" t="s">
        <v>446</v>
      </c>
      <c r="X134" s="658"/>
      <c r="Y134" s="660"/>
      <c r="Z134" s="1321" t="s">
        <v>446</v>
      </c>
      <c r="AA134" s="658"/>
      <c r="AB134" s="658"/>
      <c r="AC134" s="1321" t="s">
        <v>446</v>
      </c>
      <c r="AD134" s="658"/>
      <c r="AE134" s="660"/>
      <c r="AF134" s="1321" t="s">
        <v>446</v>
      </c>
      <c r="AG134" s="658"/>
      <c r="AH134" s="658"/>
      <c r="AI134" s="1322">
        <v>67</v>
      </c>
      <c r="AJ134" s="1322">
        <v>142</v>
      </c>
      <c r="AK134" s="1329"/>
      <c r="AL134" s="1329"/>
      <c r="AM134" s="1329"/>
      <c r="AN134" s="1329"/>
      <c r="AO134" s="1329"/>
      <c r="AP134" s="1329"/>
      <c r="AQ134" s="178"/>
      <c r="AR134" s="1314" t="s">
        <v>446</v>
      </c>
      <c r="AS134" s="1316" t="s">
        <v>523</v>
      </c>
      <c r="AT134" s="1318">
        <v>2</v>
      </c>
      <c r="AU134" s="1319">
        <v>12</v>
      </c>
      <c r="AV134" s="1319">
        <v>9</v>
      </c>
      <c r="AW134" s="1319" t="s">
        <v>446</v>
      </c>
      <c r="AX134" s="1319">
        <v>1</v>
      </c>
      <c r="AY134" s="1314">
        <v>46</v>
      </c>
      <c r="AZ134" s="658"/>
      <c r="BA134" s="658"/>
      <c r="BB134" s="1321">
        <v>19</v>
      </c>
      <c r="BC134" s="658"/>
      <c r="BD134" s="658"/>
      <c r="BE134" s="1321">
        <v>8</v>
      </c>
      <c r="BF134" s="658"/>
      <c r="BG134" s="658"/>
      <c r="BH134" s="1321">
        <v>4</v>
      </c>
      <c r="BI134" s="658"/>
      <c r="BJ134" s="658"/>
      <c r="BK134" s="1321" t="s">
        <v>446</v>
      </c>
      <c r="BL134" s="658"/>
      <c r="BM134" s="658"/>
      <c r="BN134" s="666"/>
      <c r="BO134" s="665"/>
      <c r="BP134" s="665"/>
      <c r="BQ134" s="666"/>
      <c r="BR134" s="665"/>
      <c r="BS134" s="665"/>
      <c r="BT134" s="1321" t="s">
        <v>446</v>
      </c>
      <c r="BU134" s="658"/>
      <c r="BV134" s="660"/>
      <c r="BW134" s="1321" t="s">
        <v>446</v>
      </c>
      <c r="BX134" s="658"/>
      <c r="BY134" s="658"/>
      <c r="BZ134" s="1322">
        <v>77</v>
      </c>
      <c r="CA134" s="1322">
        <v>108</v>
      </c>
    </row>
    <row r="135" spans="1:79" ht="14.25" customHeight="1" thickBot="1">
      <c r="A135" s="1315"/>
      <c r="B135" s="1317"/>
      <c r="C135" s="1318"/>
      <c r="D135" s="1319"/>
      <c r="E135" s="1319"/>
      <c r="F135" s="1319"/>
      <c r="G135" s="1319"/>
      <c r="H135" s="1314"/>
      <c r="I135" s="659"/>
      <c r="J135" s="659"/>
      <c r="K135" s="1321"/>
      <c r="L135" s="659"/>
      <c r="M135" s="659"/>
      <c r="N135" s="1321"/>
      <c r="O135" s="659"/>
      <c r="P135" s="659"/>
      <c r="Q135" s="1321"/>
      <c r="R135" s="659"/>
      <c r="S135" s="659"/>
      <c r="T135" s="1321"/>
      <c r="U135" s="659"/>
      <c r="V135" s="659"/>
      <c r="W135" s="1321"/>
      <c r="X135" s="659"/>
      <c r="Y135" s="661"/>
      <c r="Z135" s="1321"/>
      <c r="AA135" s="659"/>
      <c r="AB135" s="659"/>
      <c r="AC135" s="1321"/>
      <c r="AD135" s="659"/>
      <c r="AE135" s="661"/>
      <c r="AF135" s="1321"/>
      <c r="AG135" s="659"/>
      <c r="AH135" s="659"/>
      <c r="AI135" s="1322"/>
      <c r="AJ135" s="1322"/>
      <c r="AK135" s="1329"/>
      <c r="AL135" s="1329"/>
      <c r="AM135" s="1329"/>
      <c r="AN135" s="1329"/>
      <c r="AO135" s="1329"/>
      <c r="AP135" s="1329"/>
      <c r="AQ135" s="179"/>
      <c r="AR135" s="1315"/>
      <c r="AS135" s="1317"/>
      <c r="AT135" s="1318"/>
      <c r="AU135" s="1319"/>
      <c r="AV135" s="1319"/>
      <c r="AW135" s="1319"/>
      <c r="AX135" s="1319"/>
      <c r="AY135" s="1314"/>
      <c r="AZ135" s="659"/>
      <c r="BA135" s="659"/>
      <c r="BB135" s="1321"/>
      <c r="BC135" s="659"/>
      <c r="BD135" s="659"/>
      <c r="BE135" s="1321"/>
      <c r="BF135" s="659"/>
      <c r="BG135" s="659"/>
      <c r="BH135" s="1321"/>
      <c r="BI135" s="659"/>
      <c r="BJ135" s="659"/>
      <c r="BK135" s="1321"/>
      <c r="BL135" s="659"/>
      <c r="BM135" s="659"/>
      <c r="BN135" s="650"/>
      <c r="BO135" s="659"/>
      <c r="BP135" s="659"/>
      <c r="BQ135" s="650"/>
      <c r="BR135" s="659"/>
      <c r="BS135" s="659"/>
      <c r="BT135" s="1321"/>
      <c r="BU135" s="659"/>
      <c r="BV135" s="661"/>
      <c r="BW135" s="1321"/>
      <c r="BX135" s="659"/>
      <c r="BY135" s="659"/>
      <c r="BZ135" s="1322"/>
      <c r="CA135" s="1322"/>
    </row>
    <row r="136" spans="1:79" ht="16">
      <c r="A136" s="1328" t="s">
        <v>380</v>
      </c>
      <c r="B136" s="1328"/>
      <c r="C136" s="1328"/>
      <c r="D136" s="1328"/>
      <c r="E136" s="1328"/>
      <c r="F136" s="1328"/>
      <c r="G136" s="1328"/>
      <c r="H136" s="1328"/>
      <c r="I136" s="1328"/>
      <c r="J136" s="1328"/>
      <c r="K136" s="1328"/>
      <c r="L136" s="1328"/>
      <c r="M136" s="1328"/>
      <c r="N136" s="1328"/>
      <c r="O136" s="1328"/>
      <c r="P136" s="1328"/>
      <c r="Q136" s="1328"/>
      <c r="R136" s="1328"/>
      <c r="S136" s="1328"/>
      <c r="T136" s="1328"/>
      <c r="U136" s="1328"/>
      <c r="V136" s="1328"/>
      <c r="W136" s="1328"/>
      <c r="X136" s="1328"/>
      <c r="Y136" s="1328"/>
      <c r="Z136" s="1328"/>
      <c r="AA136" s="1328"/>
      <c r="AB136" s="1328"/>
      <c r="AC136" s="1328"/>
      <c r="AD136" s="1328"/>
      <c r="AE136" s="1328"/>
      <c r="AF136" s="1328"/>
      <c r="AG136" s="1328"/>
      <c r="AH136" s="1328"/>
      <c r="AI136" s="1328"/>
      <c r="AJ136" s="1328"/>
      <c r="AK136" s="664"/>
      <c r="AL136" s="664"/>
      <c r="AM136" s="664"/>
      <c r="AN136" s="664"/>
      <c r="AO136" s="664"/>
      <c r="AP136" s="664"/>
      <c r="AQ136" s="664"/>
      <c r="AR136" s="1328" t="s">
        <v>380</v>
      </c>
      <c r="AS136" s="1328"/>
      <c r="AT136" s="1328"/>
      <c r="AU136" s="1328"/>
      <c r="AV136" s="1328"/>
      <c r="AW136" s="1328"/>
      <c r="AX136" s="1328"/>
      <c r="AY136" s="1328"/>
      <c r="AZ136" s="1328"/>
      <c r="BA136" s="1328"/>
      <c r="BB136" s="1328"/>
      <c r="BC136" s="1328"/>
      <c r="BD136" s="1328"/>
      <c r="BE136" s="1328"/>
      <c r="BF136" s="1328"/>
      <c r="BG136" s="1328"/>
      <c r="BH136" s="1328"/>
      <c r="BI136" s="1328"/>
      <c r="BJ136" s="1328"/>
      <c r="BK136" s="1328"/>
      <c r="BL136" s="1328"/>
      <c r="BM136" s="1328"/>
      <c r="BN136" s="1328"/>
      <c r="BO136" s="1328"/>
      <c r="BP136" s="1328"/>
      <c r="BQ136" s="1328"/>
      <c r="BR136" s="1328"/>
      <c r="BS136" s="1328"/>
      <c r="BT136" s="1328"/>
      <c r="BU136" s="1328"/>
      <c r="BV136" s="1328"/>
      <c r="BW136" s="1328"/>
      <c r="BX136" s="1328"/>
      <c r="BY136" s="1328"/>
      <c r="BZ136" s="1328"/>
      <c r="CA136" s="1328"/>
    </row>
    <row r="137" spans="1:79" ht="16">
      <c r="A137" s="1325" t="s">
        <v>381</v>
      </c>
      <c r="B137" s="1325"/>
      <c r="C137" s="1325"/>
      <c r="D137" s="1325"/>
      <c r="E137" s="1325"/>
      <c r="F137" s="1325"/>
      <c r="G137" s="1325"/>
      <c r="H137" s="1325"/>
      <c r="I137" s="1325"/>
      <c r="J137" s="1325"/>
      <c r="K137" s="1325"/>
      <c r="L137" s="1325"/>
      <c r="M137" s="1325"/>
      <c r="N137" s="1325"/>
      <c r="O137" s="1325"/>
      <c r="P137" s="1325"/>
      <c r="Q137" s="1325"/>
      <c r="R137" s="1325"/>
      <c r="S137" s="1325"/>
      <c r="T137" s="1325"/>
      <c r="U137" s="1325"/>
      <c r="V137" s="1325"/>
      <c r="W137" s="1325"/>
      <c r="X137" s="1325"/>
      <c r="Y137" s="1325"/>
      <c r="Z137" s="1325"/>
      <c r="AA137" s="1325"/>
      <c r="AB137" s="1325"/>
      <c r="AC137" s="1325"/>
      <c r="AD137" s="1325"/>
      <c r="AE137" s="1325"/>
      <c r="AF137" s="1325"/>
      <c r="AG137" s="1325"/>
      <c r="AH137" s="1325"/>
      <c r="AI137" s="1325"/>
      <c r="AJ137" s="1325"/>
      <c r="AK137" s="651"/>
      <c r="AL137" s="651"/>
      <c r="AM137" s="651"/>
      <c r="AN137" s="651"/>
      <c r="AO137" s="651"/>
      <c r="AP137" s="651"/>
      <c r="AQ137" s="651"/>
      <c r="AR137" s="1325" t="s">
        <v>381</v>
      </c>
      <c r="AS137" s="1325"/>
      <c r="AT137" s="1325"/>
      <c r="AU137" s="1325"/>
      <c r="AV137" s="1325"/>
      <c r="AW137" s="1325"/>
      <c r="AX137" s="1325"/>
      <c r="AY137" s="1325"/>
      <c r="AZ137" s="1325"/>
      <c r="BA137" s="1325"/>
      <c r="BB137" s="1325"/>
      <c r="BC137" s="1325"/>
      <c r="BD137" s="1325"/>
      <c r="BE137" s="1325"/>
      <c r="BF137" s="1325"/>
      <c r="BG137" s="1325"/>
      <c r="BH137" s="1325"/>
      <c r="BI137" s="1325"/>
      <c r="BJ137" s="1325"/>
      <c r="BK137" s="1325"/>
      <c r="BL137" s="1325"/>
      <c r="BM137" s="1325"/>
      <c r="BN137" s="1325"/>
      <c r="BO137" s="1325"/>
      <c r="BP137" s="1325"/>
      <c r="BQ137" s="1325"/>
      <c r="BR137" s="1325"/>
      <c r="BS137" s="1325"/>
      <c r="BT137" s="1325"/>
      <c r="BU137" s="1325"/>
      <c r="BV137" s="1325"/>
      <c r="BW137" s="1325"/>
      <c r="BX137" s="1325"/>
      <c r="BY137" s="1325"/>
      <c r="BZ137" s="1325"/>
      <c r="CA137" s="1325"/>
    </row>
    <row r="138" spans="1:79" ht="16">
      <c r="A138" s="1325" t="s">
        <v>382</v>
      </c>
      <c r="B138" s="1325"/>
      <c r="C138" s="1325"/>
      <c r="D138" s="1325"/>
      <c r="E138" s="1325"/>
      <c r="F138" s="1325"/>
      <c r="G138" s="1325"/>
      <c r="H138" s="1325"/>
      <c r="I138" s="1325"/>
      <c r="J138" s="1325"/>
      <c r="K138" s="1325"/>
      <c r="L138" s="1325"/>
      <c r="M138" s="1325"/>
      <c r="N138" s="1325"/>
      <c r="O138" s="1325"/>
      <c r="P138" s="1325"/>
      <c r="Q138" s="1325"/>
      <c r="R138" s="1325"/>
      <c r="S138" s="1325"/>
      <c r="T138" s="1325"/>
      <c r="U138" s="1325"/>
      <c r="V138" s="1325"/>
      <c r="W138" s="1325"/>
      <c r="X138" s="1325"/>
      <c r="Y138" s="1325"/>
      <c r="Z138" s="1325"/>
      <c r="AA138" s="1325"/>
      <c r="AB138" s="1325"/>
      <c r="AC138" s="1325"/>
      <c r="AD138" s="1325"/>
      <c r="AE138" s="1325"/>
      <c r="AF138" s="1325"/>
      <c r="AG138" s="1325"/>
      <c r="AH138" s="1325"/>
      <c r="AI138" s="1325"/>
      <c r="AJ138" s="1325"/>
      <c r="AK138" s="651"/>
      <c r="AL138" s="651"/>
      <c r="AM138" s="651"/>
      <c r="AN138" s="651"/>
      <c r="AO138" s="651"/>
      <c r="AP138" s="651"/>
      <c r="AQ138" s="651"/>
      <c r="AR138" s="1325" t="s">
        <v>382</v>
      </c>
      <c r="AS138" s="1325"/>
      <c r="AT138" s="1325"/>
      <c r="AU138" s="1325"/>
      <c r="AV138" s="1325"/>
      <c r="AW138" s="1325"/>
      <c r="AX138" s="1325"/>
      <c r="AY138" s="1325"/>
      <c r="AZ138" s="1325"/>
      <c r="BA138" s="1325"/>
      <c r="BB138" s="1325"/>
      <c r="BC138" s="1325"/>
      <c r="BD138" s="1325"/>
      <c r="BE138" s="1325"/>
      <c r="BF138" s="1325"/>
      <c r="BG138" s="1325"/>
      <c r="BH138" s="1325"/>
      <c r="BI138" s="1325"/>
      <c r="BJ138" s="1325"/>
      <c r="BK138" s="1325"/>
      <c r="BL138" s="1325"/>
      <c r="BM138" s="1325"/>
      <c r="BN138" s="1325"/>
      <c r="BO138" s="1325"/>
      <c r="BP138" s="1325"/>
      <c r="BQ138" s="1325"/>
      <c r="BR138" s="1325"/>
      <c r="BS138" s="1325"/>
      <c r="BT138" s="1325"/>
      <c r="BU138" s="1325"/>
      <c r="BV138" s="1325"/>
      <c r="BW138" s="1325"/>
      <c r="BX138" s="1325"/>
      <c r="BY138" s="1325"/>
      <c r="BZ138" s="1325"/>
      <c r="CA138" s="1325"/>
    </row>
    <row r="139" spans="1:79" ht="16">
      <c r="A139" s="1326" t="s">
        <v>383</v>
      </c>
      <c r="B139" s="1326"/>
      <c r="C139" s="1326"/>
      <c r="D139" s="1326"/>
      <c r="E139" s="1326"/>
      <c r="F139" s="1326"/>
      <c r="G139" s="1326"/>
      <c r="H139" s="1326"/>
      <c r="I139" s="1326"/>
      <c r="J139" s="1326"/>
      <c r="K139" s="1326"/>
      <c r="L139" s="1326"/>
      <c r="M139" s="1326"/>
      <c r="N139" s="1326"/>
      <c r="O139" s="1326"/>
      <c r="P139" s="1326"/>
      <c r="Q139" s="1326"/>
      <c r="R139" s="1326"/>
      <c r="S139" s="1326"/>
      <c r="T139" s="1326"/>
      <c r="U139" s="1326"/>
      <c r="V139" s="1326"/>
      <c r="W139" s="1326"/>
      <c r="X139" s="1326"/>
      <c r="Y139" s="1326"/>
      <c r="Z139" s="1326"/>
      <c r="AA139" s="1326"/>
      <c r="AB139" s="1326"/>
      <c r="AC139" s="1326"/>
      <c r="AD139" s="1326"/>
      <c r="AE139" s="1326"/>
      <c r="AF139" s="1326"/>
      <c r="AG139" s="1326"/>
      <c r="AH139" s="1326"/>
      <c r="AI139" s="1326"/>
      <c r="AJ139" s="1326"/>
      <c r="AK139" s="652"/>
      <c r="AL139" s="652"/>
      <c r="AM139" s="652"/>
      <c r="AN139" s="652"/>
      <c r="AO139" s="652"/>
      <c r="AP139" s="652"/>
      <c r="AQ139" s="652"/>
      <c r="AR139" s="1326" t="s">
        <v>383</v>
      </c>
      <c r="AS139" s="1326"/>
      <c r="AT139" s="1326"/>
      <c r="AU139" s="1326"/>
      <c r="AV139" s="1326"/>
      <c r="AW139" s="1326"/>
      <c r="AX139" s="1326"/>
      <c r="AY139" s="1326"/>
      <c r="AZ139" s="1326"/>
      <c r="BA139" s="1326"/>
      <c r="BB139" s="1326"/>
      <c r="BC139" s="1326"/>
      <c r="BD139" s="1326"/>
      <c r="BE139" s="1326"/>
      <c r="BF139" s="1326"/>
      <c r="BG139" s="1326"/>
      <c r="BH139" s="1326"/>
      <c r="BI139" s="1326"/>
      <c r="BJ139" s="1326"/>
      <c r="BK139" s="1326"/>
      <c r="BL139" s="1326"/>
      <c r="BM139" s="1326"/>
      <c r="BN139" s="1326"/>
      <c r="BO139" s="1326"/>
      <c r="BP139" s="1326"/>
      <c r="BQ139" s="1326"/>
      <c r="BR139" s="1326"/>
      <c r="BS139" s="1326"/>
      <c r="BT139" s="1326"/>
      <c r="BU139" s="1326"/>
      <c r="BV139" s="1326"/>
      <c r="BW139" s="1326"/>
      <c r="BX139" s="1326"/>
      <c r="BY139" s="1326"/>
      <c r="BZ139" s="1326"/>
      <c r="CA139" s="1326"/>
    </row>
    <row r="140" spans="1:79" ht="17" thickBot="1">
      <c r="A140" s="1327" t="s">
        <v>384</v>
      </c>
      <c r="B140" s="1327"/>
      <c r="C140" s="1327"/>
      <c r="D140" s="1327"/>
      <c r="E140" s="1327"/>
      <c r="F140" s="1327"/>
      <c r="G140" s="1327"/>
      <c r="H140" s="1327"/>
      <c r="I140" s="1327"/>
      <c r="J140" s="1327"/>
      <c r="K140" s="1327"/>
      <c r="L140" s="1327"/>
      <c r="M140" s="1327"/>
      <c r="N140" s="1327"/>
      <c r="O140" s="1327"/>
      <c r="P140" s="1327"/>
      <c r="Q140" s="1327"/>
      <c r="R140" s="1327"/>
      <c r="S140" s="1327"/>
      <c r="T140" s="1327"/>
      <c r="U140" s="1327"/>
      <c r="V140" s="1327"/>
      <c r="W140" s="1327"/>
      <c r="X140" s="1327"/>
      <c r="Y140" s="1327"/>
      <c r="Z140" s="1327"/>
      <c r="AA140" s="1327"/>
      <c r="AB140" s="1327"/>
      <c r="AC140" s="1327"/>
      <c r="AD140" s="1327"/>
      <c r="AE140" s="1327"/>
      <c r="AF140" s="1327"/>
      <c r="AG140" s="1327"/>
      <c r="AH140" s="1327"/>
      <c r="AI140" s="1327"/>
      <c r="AJ140" s="1327"/>
      <c r="AK140" s="653"/>
      <c r="AL140" s="653"/>
      <c r="AM140" s="653"/>
      <c r="AN140" s="653"/>
      <c r="AO140" s="653"/>
      <c r="AP140" s="653"/>
      <c r="AQ140" s="653"/>
      <c r="AR140" s="1327" t="s">
        <v>384</v>
      </c>
      <c r="AS140" s="1327"/>
      <c r="AT140" s="1327"/>
      <c r="AU140" s="1327"/>
      <c r="AV140" s="1327"/>
      <c r="AW140" s="1327"/>
      <c r="AX140" s="1327"/>
      <c r="AY140" s="1327"/>
      <c r="AZ140" s="1327"/>
      <c r="BA140" s="1327"/>
      <c r="BB140" s="1327"/>
      <c r="BC140" s="1327"/>
      <c r="BD140" s="1327"/>
      <c r="BE140" s="1327"/>
      <c r="BF140" s="1327"/>
      <c r="BG140" s="1327"/>
      <c r="BH140" s="1327"/>
      <c r="BI140" s="1327"/>
      <c r="BJ140" s="1327"/>
      <c r="BK140" s="1327"/>
      <c r="BL140" s="1327"/>
      <c r="BM140" s="1327"/>
      <c r="BN140" s="1327"/>
      <c r="BO140" s="1327"/>
      <c r="BP140" s="1327"/>
      <c r="BQ140" s="1327"/>
      <c r="BR140" s="1327"/>
      <c r="BS140" s="1327"/>
      <c r="BT140" s="1327"/>
      <c r="BU140" s="1327"/>
      <c r="BV140" s="1327"/>
      <c r="BW140" s="1327"/>
      <c r="BX140" s="1327"/>
      <c r="BY140" s="1327"/>
      <c r="BZ140" s="1327"/>
      <c r="CA140" s="1327"/>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21</v>
      </c>
      <c r="B1" s="487" t="s">
        <v>22</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21</v>
      </c>
      <c r="R1" s="487" t="s">
        <v>24</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12</v>
      </c>
      <c r="B2" s="489" t="s">
        <v>25</v>
      </c>
      <c r="C2" s="489" t="s">
        <v>190</v>
      </c>
      <c r="D2" s="489" t="s">
        <v>274</v>
      </c>
      <c r="E2" s="489" t="s">
        <v>26</v>
      </c>
      <c r="F2" s="489" t="s">
        <v>27</v>
      </c>
      <c r="G2" s="500" t="s">
        <v>28</v>
      </c>
      <c r="H2" s="500" t="s">
        <v>29</v>
      </c>
      <c r="I2" s="490" t="s">
        <v>30</v>
      </c>
      <c r="J2" s="500" t="s">
        <v>31</v>
      </c>
      <c r="K2" s="500" t="s">
        <v>32</v>
      </c>
      <c r="L2" s="500" t="s">
        <v>399</v>
      </c>
      <c r="M2" s="489" t="s">
        <v>522</v>
      </c>
      <c r="N2" s="489" t="s">
        <v>33</v>
      </c>
      <c r="O2" s="489" t="s">
        <v>34</v>
      </c>
      <c r="Q2" s="489" t="s">
        <v>12</v>
      </c>
      <c r="R2" s="489" t="s">
        <v>25</v>
      </c>
      <c r="S2" s="489" t="s">
        <v>190</v>
      </c>
      <c r="T2" s="489" t="s">
        <v>274</v>
      </c>
      <c r="U2" s="489" t="s">
        <v>26</v>
      </c>
      <c r="V2" s="489" t="s">
        <v>27</v>
      </c>
      <c r="W2" s="500" t="s">
        <v>28</v>
      </c>
      <c r="X2" s="500" t="s">
        <v>29</v>
      </c>
      <c r="Y2" s="490" t="s">
        <v>30</v>
      </c>
      <c r="Z2" s="500" t="s">
        <v>31</v>
      </c>
      <c r="AA2" s="500" t="s">
        <v>32</v>
      </c>
      <c r="AB2" s="500" t="s">
        <v>399</v>
      </c>
      <c r="AC2" s="489" t="s">
        <v>522</v>
      </c>
      <c r="AD2" s="489" t="s">
        <v>33</v>
      </c>
      <c r="AE2" s="489" t="s">
        <v>34</v>
      </c>
    </row>
    <row r="3" spans="1:31">
      <c r="A3" s="297">
        <v>1</v>
      </c>
      <c r="B3" s="131">
        <f ca="1">IF(ISNA(MATCH($A3,Score!A$4:A$79,0)),"",MATCH($A3,Score!A$4:A$79,0)+ROW(Score!A$3))</f>
        <v>4</v>
      </c>
      <c r="C3" s="298" t="str">
        <f t="shared" ref="C3:D22" ca="1" si="0">IF($B3="","",INDIRECT(ADDRESS($B3,C$1,1,,"Score")))</f>
        <v>80</v>
      </c>
      <c r="D3" s="131">
        <f t="shared" ca="1" si="0"/>
        <v>0</v>
      </c>
      <c r="E3" s="297">
        <f ca="1">IF(B3="","",SUM(D3,D4))</f>
        <v>0</v>
      </c>
      <c r="F3" s="297">
        <f ca="1">IF(B3="","",E3-U3)</f>
        <v>0</v>
      </c>
      <c r="G3" s="501" t="str">
        <f ca="1">IF($B3="","",IF(ISBLANK(INDIRECT(ADDRESS($B3,G$1,1,,"Score"))),"",1))</f>
        <v/>
      </c>
      <c r="H3" s="501" t="str">
        <f ca="1">IF($B3="","",IF(ISBLANK(INDIRECT(ADDRESS($B3,H$1,1,,"Score"))),"",1))</f>
        <v/>
      </c>
      <c r="I3" s="491" t="str">
        <f ca="1">IF(H3=1,F3,"")</f>
        <v/>
      </c>
      <c r="J3" s="501" t="str">
        <f t="shared" ref="J3:L22" ca="1" si="1">IF($B3="","",IF(ISBLANK(INDIRECT(ADDRESS($B3,J$1,1,,"Score"))),"",1))</f>
        <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620</v>
      </c>
      <c r="T3" s="131">
        <f t="shared" ca="1" si="3"/>
        <v>0</v>
      </c>
      <c r="U3" s="297">
        <f ca="1">IF(R3="","",SUM(T3,T4))</f>
        <v>0</v>
      </c>
      <c r="V3" s="297">
        <f ca="1">IF(R3="","",U3-E3)</f>
        <v>0</v>
      </c>
      <c r="W3" s="501" t="str">
        <f ca="1">IF($R3="","",IF(ISBLANK(INDIRECT(ADDRESS($R3,W$1,1,,"Score"))),"",1))</f>
        <v/>
      </c>
      <c r="X3" s="501">
        <f ca="1">IF($R3="","",IF(ISBLANK(INDIRECT(ADDRESS($R3,X$1,1,,"Score"))),"",1))</f>
        <v>1</v>
      </c>
      <c r="Y3" s="491">
        <f ca="1">IF(X3=1,V3,"")</f>
        <v>0</v>
      </c>
      <c r="Z3" s="501">
        <f t="shared" ref="Z3:AB22" ca="1" si="4">IF($R3="","",IF(ISBLANK(INDIRECT(ADDRESS($R3,Z$1,1,,"Score"))),"",1))</f>
        <v>1</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428</v>
      </c>
      <c r="D5" s="493">
        <f t="shared" ca="1" si="0"/>
        <v>4</v>
      </c>
      <c r="E5" s="492">
        <f ca="1">IF(B5="","",SUM(D5,D6))</f>
        <v>4</v>
      </c>
      <c r="F5" s="492">
        <f ca="1">IF(B5="","",E5-U5)</f>
        <v>4</v>
      </c>
      <c r="G5" s="495" t="str">
        <f ca="1">IF($B5="","",IF(ISBLANK(INDIRECT(ADDRESS($B5,G$1,1,,"Score"))),"",1))</f>
        <v/>
      </c>
      <c r="H5" s="495">
        <f ca="1">IF($B5="","",IF(ISBLANK(INDIRECT(ADDRESS($B5,H$1,1,,"Score"))),"",1))</f>
        <v>1</v>
      </c>
      <c r="I5" s="497">
        <f ca="1">IF(H5=1,F5,"")</f>
        <v>4</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50</v>
      </c>
      <c r="T5" s="493">
        <f t="shared" ca="1" si="3"/>
        <v>0</v>
      </c>
      <c r="U5" s="492">
        <f ca="1">IF(R5="","",SUM(T5,T6))</f>
        <v>0</v>
      </c>
      <c r="V5" s="492">
        <f ca="1">IF(R5="","",U5-E5)</f>
        <v>-4</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728</v>
      </c>
      <c r="D7" s="131">
        <f t="shared" ca="1" si="0"/>
        <v>4</v>
      </c>
      <c r="E7" s="297">
        <f ca="1">IF(B7="","",SUM(D7,D8))</f>
        <v>4</v>
      </c>
      <c r="F7" s="297">
        <f ca="1">IF(B7="","",E7-U7)</f>
        <v>4</v>
      </c>
      <c r="G7" s="501" t="str">
        <f ca="1">IF($B7="","",IF(ISBLANK(INDIRECT(ADDRESS($B7,G$1,1,,"Score"))),"",1))</f>
        <v/>
      </c>
      <c r="H7" s="501">
        <f ca="1">IF($B7="","",IF(ISBLANK(INDIRECT(ADDRESS($B7,H$1,1,,"Score"))),"",1))</f>
        <v>1</v>
      </c>
      <c r="I7" s="491">
        <f ca="1">IF(H7=1,F7,"")</f>
        <v>4</v>
      </c>
      <c r="J7" s="501">
        <f t="shared" ca="1" si="1"/>
        <v>1</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9.81</v>
      </c>
      <c r="T7" s="131">
        <f t="shared" ca="1" si="3"/>
        <v>0</v>
      </c>
      <c r="U7" s="297">
        <f ca="1">IF(R7="","",SUM(T7,T8))</f>
        <v>0</v>
      </c>
      <c r="V7" s="297">
        <f ca="1">IF(R7="","",U7-E7)</f>
        <v>-4</v>
      </c>
      <c r="W7" s="501" t="str">
        <f ca="1">IF($R7="","",IF(ISBLANK(INDIRECT(ADDRESS($R7,W$1,1,,"Score"))),"",1))</f>
        <v/>
      </c>
      <c r="X7" s="501" t="str">
        <f ca="1">IF($R7="","",IF(ISBLANK(INDIRECT(ADDRESS($R7,X$1,1,,"Score"))),"",1))</f>
        <v/>
      </c>
      <c r="Y7" s="491" t="str">
        <f ca="1">IF(X7=1,V7,"")</f>
        <v/>
      </c>
      <c r="Z7" s="501" t="str">
        <f t="shared" ca="1" si="4"/>
        <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20KN</v>
      </c>
      <c r="D9" s="493">
        <f t="shared" ca="1" si="0"/>
        <v>0</v>
      </c>
      <c r="E9" s="492">
        <f ca="1">IF(B9="","",SUM(D9,D10))</f>
        <v>0</v>
      </c>
      <c r="F9" s="492">
        <f ca="1">IF(B9="","",E9-U9)</f>
        <v>0</v>
      </c>
      <c r="G9" s="495" t="str">
        <f ca="1">IF($B9="","",IF(ISBLANK(INDIRECT(ADDRESS($B9,G$1,1,,"Score"))),"",1))</f>
        <v/>
      </c>
      <c r="H9" s="495">
        <f ca="1">IF($B9="","",IF(ISBLANK(INDIRECT(ADDRESS($B9,H$1,1,,"Score"))),"",1))</f>
        <v>1</v>
      </c>
      <c r="I9" s="497">
        <f ca="1">IF(H9=1,F9,"")</f>
        <v>0</v>
      </c>
      <c r="J9" s="495">
        <f t="shared" ca="1" si="1"/>
        <v>1</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620</v>
      </c>
      <c r="T9" s="493">
        <f t="shared" ca="1" si="3"/>
        <v>0</v>
      </c>
      <c r="U9" s="492">
        <f ca="1">IF(R9="","",SUM(T9,T10))</f>
        <v>0</v>
      </c>
      <c r="V9" s="492">
        <f ca="1">IF(R9="","",U9-E9)</f>
        <v>0</v>
      </c>
      <c r="W9" s="495" t="str">
        <f ca="1">IF($R9="","",IF(ISBLANK(INDIRECT(ADDRESS($R9,W$1,1,,"Score"))),"",1))</f>
        <v/>
      </c>
      <c r="X9" s="495" t="str">
        <f ca="1">IF($R9="","",IF(ISBLANK(INDIRECT(ADDRESS($R9,X$1,1,,"Score"))),"",1))</f>
        <v/>
      </c>
      <c r="Y9" s="497" t="str">
        <f ca="1">IF(X9=1,V9,"")</f>
        <v/>
      </c>
      <c r="Z9" s="495" t="str">
        <f t="shared" ca="1" si="4"/>
        <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33 1/3</v>
      </c>
      <c r="D11" s="131">
        <f t="shared" ca="1" si="0"/>
        <v>4</v>
      </c>
      <c r="E11" s="297">
        <f ca="1">IF(B11="","",SUM(D11,D12))</f>
        <v>4</v>
      </c>
      <c r="F11" s="297">
        <f ca="1">IF(B11="","",E11-U11)</f>
        <v>4</v>
      </c>
      <c r="G11" s="501" t="str">
        <f ca="1">IF($B11="","",IF(ISBLANK(INDIRECT(ADDRESS($B11,G$1,1,,"Score"))),"",1))</f>
        <v/>
      </c>
      <c r="H11" s="501">
        <f ca="1">IF($B11="","",IF(ISBLANK(INDIRECT(ADDRESS($B11,H$1,1,,"Score"))),"",1))</f>
        <v>1</v>
      </c>
      <c r="I11" s="491">
        <f ca="1">IF(H11=1,F11,"")</f>
        <v>4</v>
      </c>
      <c r="J11" s="501">
        <f t="shared" ca="1" si="1"/>
        <v>1</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50</v>
      </c>
      <c r="T11" s="131">
        <f t="shared" ca="1" si="3"/>
        <v>0</v>
      </c>
      <c r="U11" s="297">
        <f ca="1">IF(R11="","",SUM(T11,T12))</f>
        <v>0</v>
      </c>
      <c r="V11" s="297">
        <f ca="1">IF(R11="","",U11-E11)</f>
        <v>-4</v>
      </c>
      <c r="W11" s="501" t="str">
        <f ca="1">IF($R11="","",IF(ISBLANK(INDIRECT(ADDRESS($R11,W$1,1,,"Score"))),"",1))</f>
        <v/>
      </c>
      <c r="X11" s="501" t="str">
        <f ca="1">IF($R11="","",IF(ISBLANK(INDIRECT(ADDRESS($R11,X$1,1,,"Score"))),"",1))</f>
        <v/>
      </c>
      <c r="Y11" s="491" t="str">
        <f ca="1">IF(X11=1,V11,"")</f>
        <v/>
      </c>
      <c r="Z11" s="501" t="str">
        <f t="shared" ca="1" si="4"/>
        <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428</v>
      </c>
      <c r="D13" s="493">
        <f t="shared" ca="1" si="0"/>
        <v>0</v>
      </c>
      <c r="E13" s="492">
        <f ca="1">IF(B13="","",SUM(D13,D14))</f>
        <v>0</v>
      </c>
      <c r="F13" s="492">
        <f ca="1">IF(B13="","",E13-U13)</f>
        <v>-4</v>
      </c>
      <c r="G13" s="495" t="str">
        <f ca="1">IF($B13="","",IF(ISBLANK(INDIRECT(ADDRESS($B13,G$1,1,,"Score"))),"",1))</f>
        <v/>
      </c>
      <c r="H13" s="495" t="str">
        <f ca="1">IF($B13="","",IF(ISBLANK(INDIRECT(ADDRESS($B13,H$1,1,,"Score"))),"",1))</f>
        <v/>
      </c>
      <c r="I13" s="497" t="str">
        <f ca="1">IF(H13=1,F13,"")</f>
        <v/>
      </c>
      <c r="J13" s="495" t="str">
        <f t="shared" ca="1" si="1"/>
        <v/>
      </c>
      <c r="K13" s="495" t="str">
        <f t="shared" ca="1" si="1"/>
        <v/>
      </c>
      <c r="L13" s="495" t="str">
        <f t="shared" ca="1" si="1"/>
        <v/>
      </c>
      <c r="M13" s="493">
        <f t="shared" ca="1" si="2"/>
        <v>1</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9.81</v>
      </c>
      <c r="T13" s="493">
        <f t="shared" ca="1" si="3"/>
        <v>4</v>
      </c>
      <c r="U13" s="492">
        <f ca="1">IF(R13="","",SUM(T13,T14))</f>
        <v>4</v>
      </c>
      <c r="V13" s="492">
        <f ca="1">IF(R13="","",U13-E13)</f>
        <v>4</v>
      </c>
      <c r="W13" s="495" t="str">
        <f ca="1">IF($R13="","",IF(ISBLANK(INDIRECT(ADDRESS($R13,W$1,1,,"Score"))),"",1))</f>
        <v/>
      </c>
      <c r="X13" s="495">
        <f ca="1">IF($R13="","",IF(ISBLANK(INDIRECT(ADDRESS($R13,X$1,1,,"Score"))),"",1))</f>
        <v>1</v>
      </c>
      <c r="Y13" s="497">
        <f ca="1">IF(X13=1,V13,"")</f>
        <v>4</v>
      </c>
      <c r="Z13" s="495">
        <f t="shared" ca="1" si="4"/>
        <v>1</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80</v>
      </c>
      <c r="D15" s="131">
        <f t="shared" ca="1" si="0"/>
        <v>0</v>
      </c>
      <c r="E15" s="297">
        <f ca="1">IF(B15="","",SUM(D15,D16))</f>
        <v>0</v>
      </c>
      <c r="F15" s="297">
        <f ca="1">IF(B15="","",E15-U15)</f>
        <v>-4</v>
      </c>
      <c r="G15" s="501" t="str">
        <f ca="1">IF($B15="","",IF(ISBLANK(INDIRECT(ADDRESS($B15,G$1,1,,"Score"))),"",1))</f>
        <v/>
      </c>
      <c r="H15" s="501" t="str">
        <f ca="1">IF($B15="","",IF(ISBLANK(INDIRECT(ADDRESS($B15,H$1,1,,"Score"))),"",1))</f>
        <v/>
      </c>
      <c r="I15" s="491" t="str">
        <f ca="1">IF(H15=1,F15,"")</f>
        <v/>
      </c>
      <c r="J15" s="501" t="str">
        <f t="shared" ca="1" si="1"/>
        <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620</v>
      </c>
      <c r="T15" s="131">
        <f t="shared" ca="1" si="3"/>
        <v>4</v>
      </c>
      <c r="U15" s="297">
        <f ca="1">IF(R15="","",SUM(T15,T16))</f>
        <v>4</v>
      </c>
      <c r="V15" s="297">
        <f ca="1">IF(R15="","",U15-E15)</f>
        <v>4</v>
      </c>
      <c r="W15" s="501" t="str">
        <f ca="1">IF($R15="","",IF(ISBLANK(INDIRECT(ADDRESS($R15,W$1,1,,"Score"))),"",1))</f>
        <v/>
      </c>
      <c r="X15" s="501">
        <f ca="1">IF($R15="","",IF(ISBLANK(INDIRECT(ADDRESS($R15,X$1,1,,"Score"))),"",1))</f>
        <v>1</v>
      </c>
      <c r="Y15" s="491">
        <f ca="1">IF(X15=1,V15,"")</f>
        <v>4</v>
      </c>
      <c r="Z15" s="501">
        <f t="shared" ca="1" si="4"/>
        <v>1</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20KN</v>
      </c>
      <c r="D17" s="493">
        <f t="shared" ca="1" si="0"/>
        <v>1</v>
      </c>
      <c r="E17" s="492">
        <f ca="1">IF(B17="","",SUM(D17,D18))</f>
        <v>1</v>
      </c>
      <c r="F17" s="492">
        <f ca="1">IF(B17="","",E17-U17)</f>
        <v>1</v>
      </c>
      <c r="G17" s="495" t="str">
        <f ca="1">IF($B17="","",IF(ISBLANK(INDIRECT(ADDRESS($B17,G$1,1,,"Score"))),"",1))</f>
        <v/>
      </c>
      <c r="H17" s="495">
        <f ca="1">IF($B17="","",IF(ISBLANK(INDIRECT(ADDRESS($B17,H$1,1,,"Score"))),"",1))</f>
        <v>1</v>
      </c>
      <c r="I17" s="497">
        <f ca="1">IF(H17=1,F17,"")</f>
        <v>1</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50</v>
      </c>
      <c r="T17" s="493">
        <f t="shared" ca="1" si="3"/>
        <v>0</v>
      </c>
      <c r="U17" s="492">
        <f ca="1">IF(R17="","",SUM(T17,T18))</f>
        <v>0</v>
      </c>
      <c r="V17" s="492">
        <f ca="1">IF(R17="","",U17-E17)</f>
        <v>-1</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728</v>
      </c>
      <c r="D19" s="131">
        <f t="shared" ca="1" si="0"/>
        <v>4</v>
      </c>
      <c r="E19" s="297">
        <f ca="1">IF(B19="","",SUM(D19,D20))</f>
        <v>4</v>
      </c>
      <c r="F19" s="297">
        <f ca="1">IF(B19="","",E19-U19)</f>
        <v>4</v>
      </c>
      <c r="G19" s="501" t="str">
        <f ca="1">IF($B19="","",IF(ISBLANK(INDIRECT(ADDRESS($B19,G$1,1,,"Score"))),"",1))</f>
        <v/>
      </c>
      <c r="H19" s="501">
        <f ca="1">IF($B19="","",IF(ISBLANK(INDIRECT(ADDRESS($B19,H$1,1,,"Score"))),"",1))</f>
        <v>1</v>
      </c>
      <c r="I19" s="491">
        <f ca="1">IF(H19=1,F19,"")</f>
        <v>4</v>
      </c>
      <c r="J19" s="501">
        <f t="shared" ca="1" si="1"/>
        <v>1</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9.81</v>
      </c>
      <c r="T19" s="131">
        <f t="shared" ca="1" si="3"/>
        <v>0</v>
      </c>
      <c r="U19" s="297">
        <f ca="1">IF(R19="","",SUM(T19,T20))</f>
        <v>0</v>
      </c>
      <c r="V19" s="297">
        <f ca="1">IF(R19="","",U19-E19)</f>
        <v>-4</v>
      </c>
      <c r="W19" s="501" t="str">
        <f ca="1">IF($R19="","",IF(ISBLANK(INDIRECT(ADDRESS($R19,W$1,1,,"Score"))),"",1))</f>
        <v/>
      </c>
      <c r="X19" s="501" t="str">
        <f ca="1">IF($R19="","",IF(ISBLANK(INDIRECT(ADDRESS($R19,X$1,1,,"Score"))),"",1))</f>
        <v/>
      </c>
      <c r="Y19" s="491" t="str">
        <f ca="1">IF(X19=1,V19,"")</f>
        <v/>
      </c>
      <c r="Z19" s="501" t="str">
        <f t="shared" ca="1" si="4"/>
        <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428</v>
      </c>
      <c r="D21" s="493">
        <f t="shared" ca="1" si="0"/>
        <v>0</v>
      </c>
      <c r="E21" s="492">
        <f ca="1">IF(B21="","",SUM(D21,D22))</f>
        <v>0</v>
      </c>
      <c r="F21" s="492">
        <f ca="1">IF(B21="","",E21-U21)</f>
        <v>-4</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620</v>
      </c>
      <c r="T21" s="493">
        <f t="shared" ca="1" si="3"/>
        <v>4</v>
      </c>
      <c r="U21" s="492">
        <f ca="1">IF(R21="","",SUM(T21,T22))</f>
        <v>4</v>
      </c>
      <c r="V21" s="492">
        <f ca="1">IF(R21="","",U21-E21)</f>
        <v>4</v>
      </c>
      <c r="W21" s="495" t="str">
        <f ca="1">IF($R21="","",IF(ISBLANK(INDIRECT(ADDRESS($R21,W$1,1,,"Score"))),"",1))</f>
        <v/>
      </c>
      <c r="X21" s="495">
        <f ca="1">IF($R21="","",IF(ISBLANK(INDIRECT(ADDRESS($R21,X$1,1,,"Score"))),"",1))</f>
        <v>1</v>
      </c>
      <c r="Y21" s="497">
        <f ca="1">IF(X21=1,V21,"")</f>
        <v>4</v>
      </c>
      <c r="Z21" s="495">
        <f t="shared" ca="1" si="4"/>
        <v>1</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33 1/3</v>
      </c>
      <c r="D23" s="131">
        <f t="shared" ca="1" si="6"/>
        <v>0</v>
      </c>
      <c r="E23" s="297">
        <f ca="1">IF(B23="","",SUM(D23,D24))</f>
        <v>0</v>
      </c>
      <c r="F23" s="297">
        <f ca="1">IF(B23="","",E23-U23)</f>
        <v>0</v>
      </c>
      <c r="G23" s="501" t="str">
        <f ca="1">IF($B23="","",IF(ISBLANK(INDIRECT(ADDRESS($B23,G$1,1,,"Score"))),"",1))</f>
        <v/>
      </c>
      <c r="H23" s="501" t="str">
        <f ca="1">IF($B23="","",IF(ISBLANK(INDIRECT(ADDRESS($B23,H$1,1,,"Score"))),"",1))</f>
        <v/>
      </c>
      <c r="I23" s="491" t="str">
        <f ca="1">IF(H23=1,F23,"")</f>
        <v/>
      </c>
      <c r="J23" s="501" t="str">
        <f t="shared" ref="J23:L42" ca="1" si="7">IF($B23="","",IF(ISBLANK(INDIRECT(ADDRESS($B23,J$1,1,,"Score"))),"",1))</f>
        <v/>
      </c>
      <c r="K23" s="501" t="str">
        <f t="shared" ca="1" si="7"/>
        <v/>
      </c>
      <c r="L23" s="501" t="str">
        <f t="shared" ca="1" si="7"/>
        <v/>
      </c>
      <c r="M23" s="131">
        <f t="shared" ref="M23:M42" ca="1" si="8">IF($B23="","",INDIRECT(ADDRESS($B23,M$1,1,,"Score")))</f>
        <v>1</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50</v>
      </c>
      <c r="T23" s="131">
        <f t="shared" ca="1" si="9"/>
        <v>0</v>
      </c>
      <c r="U23" s="297">
        <f ca="1">IF(R23="","",SUM(T23,T24))</f>
        <v>0</v>
      </c>
      <c r="V23" s="297">
        <f ca="1">IF(R23="","",U23-E23)</f>
        <v>0</v>
      </c>
      <c r="W23" s="501" t="str">
        <f ca="1">IF($R23="","",IF(ISBLANK(INDIRECT(ADDRESS($R23,W$1,1,,"Score"))),"",1))</f>
        <v/>
      </c>
      <c r="X23" s="501">
        <f ca="1">IF($R23="","",IF(ISBLANK(INDIRECT(ADDRESS($R23,X$1,1,,"Score"))),"",1))</f>
        <v>1</v>
      </c>
      <c r="Y23" s="491">
        <f ca="1">IF(X23=1,V23,"")</f>
        <v>0</v>
      </c>
      <c r="Z23" s="501">
        <f t="shared" ref="Z23:AB42" ca="1" si="10">IF($R23="","",IF(ISBLANK(INDIRECT(ADDRESS($R23,Z$1,1,,"Score"))),"",1))</f>
        <v>1</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20KN</v>
      </c>
      <c r="D25" s="493">
        <f t="shared" ca="1" si="6"/>
        <v>0</v>
      </c>
      <c r="E25" s="492">
        <f ca="1">IF(B25="","",SUM(D25,D26))</f>
        <v>0</v>
      </c>
      <c r="F25" s="492">
        <f ca="1">IF(B25="","",E25-U25)</f>
        <v>-1</v>
      </c>
      <c r="G25" s="495" t="str">
        <f ca="1">IF($B25="","",IF(ISBLANK(INDIRECT(ADDRESS($B25,G$1,1,,"Score"))),"",1))</f>
        <v/>
      </c>
      <c r="H25" s="495" t="str">
        <f ca="1">IF($B25="","",IF(ISBLANK(INDIRECT(ADDRESS($B25,H$1,1,,"Score"))),"",1))</f>
        <v/>
      </c>
      <c r="I25" s="497" t="str">
        <f ca="1">IF(H25=1,F25,"")</f>
        <v/>
      </c>
      <c r="J25" s="495" t="str">
        <f t="shared" ca="1" si="7"/>
        <v/>
      </c>
      <c r="K25" s="495" t="str">
        <f t="shared" ca="1" si="7"/>
        <v/>
      </c>
      <c r="L25" s="495" t="str">
        <f t="shared" ca="1" si="7"/>
        <v/>
      </c>
      <c r="M25" s="493">
        <f t="shared" ca="1" si="8"/>
        <v>1</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9.81</v>
      </c>
      <c r="T25" s="493">
        <f t="shared" ca="1" si="9"/>
        <v>1</v>
      </c>
      <c r="U25" s="492">
        <f ca="1">IF(R25="","",SUM(T25,T26))</f>
        <v>1</v>
      </c>
      <c r="V25" s="492">
        <f ca="1">IF(R25="","",U25-E25)</f>
        <v>1</v>
      </c>
      <c r="W25" s="495" t="str">
        <f ca="1">IF($R25="","",IF(ISBLANK(INDIRECT(ADDRESS($R25,W$1,1,,"Score"))),"",1))</f>
        <v/>
      </c>
      <c r="X25" s="495">
        <f ca="1">IF($R25="","",IF(ISBLANK(INDIRECT(ADDRESS($R25,X$1,1,,"Score"))),"",1))</f>
        <v>1</v>
      </c>
      <c r="Y25" s="497">
        <f ca="1">IF(X25=1,V25,"")</f>
        <v>1</v>
      </c>
      <c r="Z25" s="495">
        <f t="shared" ca="1" si="10"/>
        <v>1</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33 1/3</v>
      </c>
      <c r="D27" s="131">
        <f t="shared" ca="1" si="6"/>
        <v>11</v>
      </c>
      <c r="E27" s="297">
        <f ca="1">IF(B27="","",SUM(D27,D28))</f>
        <v>11</v>
      </c>
      <c r="F27" s="297">
        <f ca="1">IF(B27="","",E27-U27)</f>
        <v>11</v>
      </c>
      <c r="G27" s="501">
        <f ca="1">IF($B27="","",IF(ISBLANK(INDIRECT(ADDRESS($B27,G$1,1,,"Score"))),"",1))</f>
        <v>1</v>
      </c>
      <c r="H27" s="501" t="str">
        <f ca="1">IF($B27="","",IF(ISBLANK(INDIRECT(ADDRESS($B27,H$1,1,,"Score"))),"",1))</f>
        <v/>
      </c>
      <c r="I27" s="491" t="str">
        <f ca="1">IF(H27=1,F27,"")</f>
        <v/>
      </c>
      <c r="J27" s="501" t="str">
        <f t="shared" ca="1" si="7"/>
        <v/>
      </c>
      <c r="K27" s="501" t="str">
        <f t="shared" ca="1" si="7"/>
        <v/>
      </c>
      <c r="L27" s="501" t="str">
        <f t="shared" ca="1" si="7"/>
        <v/>
      </c>
      <c r="M27" s="131">
        <f t="shared" ca="1" si="8"/>
        <v>3</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620</v>
      </c>
      <c r="T27" s="131">
        <f t="shared" ca="1" si="9"/>
        <v>0</v>
      </c>
      <c r="U27" s="297">
        <f ca="1">IF(R27="","",SUM(T27,T28))</f>
        <v>0</v>
      </c>
      <c r="V27" s="297">
        <f ca="1">IF(R27="","",U27-E27)</f>
        <v>-11</v>
      </c>
      <c r="W27" s="501">
        <f ca="1">IF($R27="","",IF(ISBLANK(INDIRECT(ADDRESS($R27,W$1,1,,"Score"))),"",1))</f>
        <v>1</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33 1/3</v>
      </c>
      <c r="D29" s="493">
        <f t="shared" ca="1" si="6"/>
        <v>0</v>
      </c>
      <c r="E29" s="492">
        <f ca="1">IF(B29="","",SUM(D29,D30))</f>
        <v>0</v>
      </c>
      <c r="F29" s="492">
        <f ca="1">IF(B29="","",E29-U29)</f>
        <v>-10</v>
      </c>
      <c r="G29" s="495" t="str">
        <f ca="1">IF($B29="","",IF(ISBLANK(INDIRECT(ADDRESS($B29,G$1,1,,"Score"))),"",1))</f>
        <v/>
      </c>
      <c r="H29" s="495" t="str">
        <f ca="1">IF($B29="","",IF(ISBLANK(INDIRECT(ADDRESS($B29,H$1,1,,"Score"))),"",1))</f>
        <v/>
      </c>
      <c r="I29" s="497" t="str">
        <f ca="1">IF(H29=1,F29,"")</f>
        <v/>
      </c>
      <c r="J29" s="495" t="str">
        <f t="shared" ca="1" si="7"/>
        <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620</v>
      </c>
      <c r="T29" s="493">
        <f t="shared" ca="1" si="9"/>
        <v>10</v>
      </c>
      <c r="U29" s="492">
        <f ca="1">IF(R29="","",SUM(T29,T30))</f>
        <v>10</v>
      </c>
      <c r="V29" s="492">
        <f ca="1">IF(R29="","",U29-E29)</f>
        <v>10</v>
      </c>
      <c r="W29" s="495" t="str">
        <f ca="1">IF($R29="","",IF(ISBLANK(INDIRECT(ADDRESS($R29,W$1,1,,"Score"))),"",1))</f>
        <v/>
      </c>
      <c r="X29" s="495">
        <f ca="1">IF($R29="","",IF(ISBLANK(INDIRECT(ADDRESS($R29,X$1,1,,"Score"))),"",1))</f>
        <v>1</v>
      </c>
      <c r="Y29" s="497">
        <f ca="1">IF(X29=1,V29,"")</f>
        <v>10</v>
      </c>
      <c r="Z29" s="495">
        <f t="shared" ca="1" si="10"/>
        <v>1</v>
      </c>
      <c r="AA29" s="495" t="str">
        <f t="shared" ca="1" si="10"/>
        <v/>
      </c>
      <c r="AB29" s="495" t="str">
        <f t="shared" ca="1" si="10"/>
        <v/>
      </c>
      <c r="AC29" s="493">
        <f t="shared" ca="1" si="11"/>
        <v>2</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80</v>
      </c>
      <c r="D31" s="131">
        <f t="shared" ca="1" si="6"/>
        <v>4</v>
      </c>
      <c r="E31" s="297">
        <f ca="1">IF(B31="","",SUM(D31,D32))</f>
        <v>4</v>
      </c>
      <c r="F31" s="297">
        <f ca="1">IF(B31="","",E31-U31)</f>
        <v>4</v>
      </c>
      <c r="G31" s="501" t="str">
        <f ca="1">IF($B31="","",IF(ISBLANK(INDIRECT(ADDRESS($B31,G$1,1,,"Score"))),"",1))</f>
        <v/>
      </c>
      <c r="H31" s="501">
        <f ca="1">IF($B31="","",IF(ISBLANK(INDIRECT(ADDRESS($B31,H$1,1,,"Score"))),"",1))</f>
        <v>1</v>
      </c>
      <c r="I31" s="491">
        <f ca="1">IF(H31=1,F31,"")</f>
        <v>4</v>
      </c>
      <c r="J31" s="501">
        <f t="shared" ca="1" si="7"/>
        <v>1</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9.81</v>
      </c>
      <c r="T31" s="131">
        <f t="shared" ca="1" si="9"/>
        <v>0</v>
      </c>
      <c r="U31" s="297">
        <f ca="1">IF(R31="","",SUM(T31,T32))</f>
        <v>0</v>
      </c>
      <c r="V31" s="297">
        <f ca="1">IF(R31="","",U31-E31)</f>
        <v>-4</v>
      </c>
      <c r="W31" s="501" t="str">
        <f ca="1">IF($R31="","",IF(ISBLANK(INDIRECT(ADDRESS($R31,W$1,1,,"Score"))),"",1))</f>
        <v/>
      </c>
      <c r="X31" s="501" t="str">
        <f ca="1">IF($R31="","",IF(ISBLANK(INDIRECT(ADDRESS($R31,X$1,1,,"Score"))),"",1))</f>
        <v/>
      </c>
      <c r="Y31" s="491" t="str">
        <f ca="1">IF(X31=1,V31,"")</f>
        <v/>
      </c>
      <c r="Z31" s="501" t="str">
        <f t="shared" ca="1" si="10"/>
        <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20KN</v>
      </c>
      <c r="D33" s="493">
        <f t="shared" ca="1" si="6"/>
        <v>9</v>
      </c>
      <c r="E33" s="492">
        <f ca="1">IF(B33="","",SUM(D33,D34))</f>
        <v>9</v>
      </c>
      <c r="F33" s="492">
        <f ca="1">IF(B33="","",E33-U33)</f>
        <v>9</v>
      </c>
      <c r="G33" s="495" t="str">
        <f ca="1">IF($B33="","",IF(ISBLANK(INDIRECT(ADDRESS($B33,G$1,1,,"Score"))),"",1))</f>
        <v/>
      </c>
      <c r="H33" s="495">
        <f ca="1">IF($B33="","",IF(ISBLANK(INDIRECT(ADDRESS($B33,H$1,1,,"Score"))),"",1))</f>
        <v>1</v>
      </c>
      <c r="I33" s="497">
        <f ca="1">IF(H33=1,F33,"")</f>
        <v>9</v>
      </c>
      <c r="J33" s="495">
        <f t="shared" ca="1" si="7"/>
        <v>1</v>
      </c>
      <c r="K33" s="495" t="str">
        <f t="shared" ca="1" si="7"/>
        <v/>
      </c>
      <c r="L33" s="495" t="str">
        <f t="shared" ca="1" si="7"/>
        <v/>
      </c>
      <c r="M33" s="493">
        <f t="shared" ca="1" si="8"/>
        <v>2</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50</v>
      </c>
      <c r="T33" s="493">
        <f t="shared" ca="1" si="9"/>
        <v>0</v>
      </c>
      <c r="U33" s="492">
        <f ca="1">IF(R33="","",SUM(T33,T34))</f>
        <v>0</v>
      </c>
      <c r="V33" s="492">
        <f ca="1">IF(R33="","",U33-E33)</f>
        <v>-9</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80</v>
      </c>
      <c r="D35" s="131">
        <f t="shared" ca="1" si="6"/>
        <v>4</v>
      </c>
      <c r="E35" s="297">
        <f ca="1">IF(B35="","",SUM(D35,D36))</f>
        <v>4</v>
      </c>
      <c r="F35" s="297">
        <f ca="1">IF(B35="","",E35-U35)</f>
        <v>4</v>
      </c>
      <c r="G35" s="501" t="str">
        <f ca="1">IF($B35="","",IF(ISBLANK(INDIRECT(ADDRESS($B35,G$1,1,,"Score"))),"",1))</f>
        <v/>
      </c>
      <c r="H35" s="501">
        <f ca="1">IF($B35="","",IF(ISBLANK(INDIRECT(ADDRESS($B35,H$1,1,,"Score"))),"",1))</f>
        <v>1</v>
      </c>
      <c r="I35" s="491">
        <f ca="1">IF(H35=1,F35,"")</f>
        <v>4</v>
      </c>
      <c r="J35" s="501">
        <f t="shared" ca="1" si="7"/>
        <v>1</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9.81</v>
      </c>
      <c r="T35" s="131">
        <f t="shared" ca="1" si="9"/>
        <v>0</v>
      </c>
      <c r="U35" s="297">
        <f ca="1">IF(R35="","",SUM(T35,T36))</f>
        <v>0</v>
      </c>
      <c r="V35" s="297">
        <f ca="1">IF(R35="","",U35-E35)</f>
        <v>-4</v>
      </c>
      <c r="W35" s="501" t="str">
        <f ca="1">IF($R35="","",IF(ISBLANK(INDIRECT(ADDRESS($R35,W$1,1,,"Score"))),"",1))</f>
        <v/>
      </c>
      <c r="X35" s="501" t="str">
        <f ca="1">IF($R35="","",IF(ISBLANK(INDIRECT(ADDRESS($R35,X$1,1,,"Score"))),"",1))</f>
        <v/>
      </c>
      <c r="Y35" s="491" t="str">
        <f ca="1">IF(X35=1,V35,"")</f>
        <v/>
      </c>
      <c r="Z35" s="501" t="str">
        <f t="shared" ca="1" si="10"/>
        <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428</v>
      </c>
      <c r="D37" s="493">
        <f t="shared" ca="1" si="6"/>
        <v>0</v>
      </c>
      <c r="E37" s="492">
        <f ca="1">IF(B37="","",SUM(D37,D38))</f>
        <v>0</v>
      </c>
      <c r="F37" s="492">
        <f ca="1">IF(B37="","",E37-U37)</f>
        <v>-3</v>
      </c>
      <c r="G37" s="495" t="str">
        <f ca="1">IF($B37="","",IF(ISBLANK(INDIRECT(ADDRESS($B37,G$1,1,,"Score"))),"",1))</f>
        <v/>
      </c>
      <c r="H37" s="495" t="str">
        <f ca="1">IF($B37="","",IF(ISBLANK(INDIRECT(ADDRESS($B37,H$1,1,,"Score"))),"",1))</f>
        <v/>
      </c>
      <c r="I37" s="497" t="str">
        <f ca="1">IF(H37=1,F37,"")</f>
        <v/>
      </c>
      <c r="J37" s="495" t="str">
        <f t="shared" ca="1" si="7"/>
        <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620</v>
      </c>
      <c r="T37" s="493">
        <f t="shared" ca="1" si="9"/>
        <v>3</v>
      </c>
      <c r="U37" s="492">
        <f ca="1">IF(R37="","",SUM(T37,T38))</f>
        <v>3</v>
      </c>
      <c r="V37" s="492">
        <f ca="1">IF(R37="","",U37-E37)</f>
        <v>3</v>
      </c>
      <c r="W37" s="495" t="str">
        <f ca="1">IF($R37="","",IF(ISBLANK(INDIRECT(ADDRESS($R37,W$1,1,,"Score"))),"",1))</f>
        <v/>
      </c>
      <c r="X37" s="495">
        <f ca="1">IF($R37="","",IF(ISBLANK(INDIRECT(ADDRESS($R37,X$1,1,,"Score"))),"",1))</f>
        <v>1</v>
      </c>
      <c r="Y37" s="497">
        <f ca="1">IF(X37=1,V37,"")</f>
        <v>3</v>
      </c>
      <c r="Z37" s="495">
        <f t="shared" ca="1" si="10"/>
        <v>1</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728</v>
      </c>
      <c r="D39" s="131">
        <f t="shared" ca="1" si="6"/>
        <v>2</v>
      </c>
      <c r="E39" s="297">
        <f ca="1">IF(B39="","",SUM(D39,D40))</f>
        <v>2</v>
      </c>
      <c r="F39" s="297">
        <f ca="1">IF(B39="","",E39-U39)</f>
        <v>2</v>
      </c>
      <c r="G39" s="501" t="str">
        <f ca="1">IF($B39="","",IF(ISBLANK(INDIRECT(ADDRESS($B39,G$1,1,,"Score"))),"",1))</f>
        <v/>
      </c>
      <c r="H39" s="501">
        <f ca="1">IF($B39="","",IF(ISBLANK(INDIRECT(ADDRESS($B39,H$1,1,,"Score"))),"",1))</f>
        <v>1</v>
      </c>
      <c r="I39" s="491">
        <f ca="1">IF(H39=1,F39,"")</f>
        <v>2</v>
      </c>
      <c r="J39" s="501">
        <f t="shared" ca="1" si="7"/>
        <v>1</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50</v>
      </c>
      <c r="T39" s="131">
        <f t="shared" ca="1" si="9"/>
        <v>0</v>
      </c>
      <c r="U39" s="297">
        <f ca="1">IF(R39="","",SUM(T39,T40))</f>
        <v>0</v>
      </c>
      <c r="V39" s="297">
        <f ca="1">IF(R39="","",U39-E39)</f>
        <v>-2</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20KN</v>
      </c>
      <c r="D41" s="493">
        <f t="shared" ca="1" si="6"/>
        <v>0</v>
      </c>
      <c r="E41" s="492">
        <f ca="1">IF(B41="","",SUM(D41,D42))</f>
        <v>0</v>
      </c>
      <c r="F41" s="492">
        <f ca="1">IF(B41="","",E41-U41)</f>
        <v>0</v>
      </c>
      <c r="G41" s="495" t="str">
        <f ca="1">IF($B41="","",IF(ISBLANK(INDIRECT(ADDRESS($B41,G$1,1,,"Score"))),"",1))</f>
        <v/>
      </c>
      <c r="H41" s="495">
        <f ca="1">IF($B41="","",IF(ISBLANK(INDIRECT(ADDRESS($B41,H$1,1,,"Score"))),"",1))</f>
        <v>1</v>
      </c>
      <c r="I41" s="497">
        <f ca="1">IF(H41=1,F41,"")</f>
        <v>0</v>
      </c>
      <c r="J41" s="495">
        <f t="shared" ca="1" si="7"/>
        <v>1</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9.81</v>
      </c>
      <c r="T41" s="493">
        <f t="shared" ca="1" si="9"/>
        <v>0</v>
      </c>
      <c r="U41" s="492">
        <f ca="1">IF(R41="","",SUM(T41,T42))</f>
        <v>0</v>
      </c>
      <c r="V41" s="492">
        <f ca="1">IF(R41="","",U41-E41)</f>
        <v>0</v>
      </c>
      <c r="W41" s="495">
        <f ca="1">IF($R41="","",IF(ISBLANK(INDIRECT(ADDRESS($R41,W$1,1,,"Score"))),"",1))</f>
        <v>1</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33 1/3</v>
      </c>
      <c r="D43" s="131">
        <f t="shared" ca="1" si="12"/>
        <v>10</v>
      </c>
      <c r="E43" s="297">
        <f ca="1">IF(B43="","",SUM(D43,D44))</f>
        <v>10</v>
      </c>
      <c r="F43" s="297">
        <f ca="1">IF(B43="","",E43-U43)</f>
        <v>9</v>
      </c>
      <c r="G43" s="501" t="str">
        <f ca="1">IF($B43="","",IF(ISBLANK(INDIRECT(ADDRESS($B43,G$1,1,,"Score"))),"",1))</f>
        <v/>
      </c>
      <c r="H43" s="501">
        <f ca="1">IF($B43="","",IF(ISBLANK(INDIRECT(ADDRESS($B43,H$1,1,,"Score"))),"",1))</f>
        <v>1</v>
      </c>
      <c r="I43" s="491">
        <f ca="1">IF(H43=1,F43,"")</f>
        <v>9</v>
      </c>
      <c r="J43" s="501">
        <f t="shared" ref="J43:L58" ca="1" si="13">IF($B43="","",IF(ISBLANK(INDIRECT(ADDRESS($B43,J$1,1,,"Score"))),"",1))</f>
        <v>1</v>
      </c>
      <c r="K43" s="501" t="str">
        <f t="shared" ca="1" si="13"/>
        <v/>
      </c>
      <c r="L43" s="501" t="str">
        <f t="shared" ca="1" si="13"/>
        <v/>
      </c>
      <c r="M43" s="131">
        <f t="shared" ref="M43:M58" ca="1" si="14">IF($B43="","",INDIRECT(ADDRESS($B43,M$1,1,,"Score")))</f>
        <v>2</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24/7</v>
      </c>
      <c r="T43" s="131">
        <f t="shared" ca="1" si="15"/>
        <v>1</v>
      </c>
      <c r="U43" s="297">
        <f ca="1">IF(R43="","",SUM(T43,T44))</f>
        <v>1</v>
      </c>
      <c r="V43" s="297">
        <f ca="1">IF(R43="","",U43-E43)</f>
        <v>-9</v>
      </c>
      <c r="W43" s="501">
        <f ca="1">IF($R43="","",IF(ISBLANK(INDIRECT(ADDRESS($R43,W$1,1,,"Score"))),"",1))</f>
        <v>1</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46</v>
      </c>
      <c r="C45" s="494" t="str">
        <f t="shared" ca="1" si="12"/>
        <v>428</v>
      </c>
      <c r="D45" s="493">
        <f t="shared" ca="1" si="12"/>
        <v>4</v>
      </c>
      <c r="E45" s="492">
        <f ca="1">IF(B45="","",SUM(D45,D46))</f>
        <v>4</v>
      </c>
      <c r="F45" s="492">
        <f ca="1">IF(B45="","",E45-U45)</f>
        <v>4</v>
      </c>
      <c r="G45" s="495" t="str">
        <f ca="1">IF($B45="","",IF(ISBLANK(INDIRECT(ADDRESS($B45,G$1,1,,"Score"))),"",1))</f>
        <v/>
      </c>
      <c r="H45" s="495">
        <f ca="1">IF($B45="","",IF(ISBLANK(INDIRECT(ADDRESS($B45,H$1,1,,"Score"))),"",1))</f>
        <v>1</v>
      </c>
      <c r="I45" s="497">
        <f ca="1">IF(H45=1,F45,"")</f>
        <v>4</v>
      </c>
      <c r="J45" s="495">
        <f t="shared" ca="1" si="13"/>
        <v>1</v>
      </c>
      <c r="K45" s="495" t="str">
        <f t="shared" ca="1" si="13"/>
        <v/>
      </c>
      <c r="L45" s="495" t="str">
        <f t="shared" ca="1" si="13"/>
        <v/>
      </c>
      <c r="M45" s="493">
        <f t="shared" ca="1" si="14"/>
        <v>1</v>
      </c>
      <c r="N45" s="492">
        <f ca="1">IF(ISNA(MATCH($A45,'Bout Clock'!A$11:A$40,0)),"",INDIRECT(ADDRESS(MATCH($A45,'Bout Clock'!A$11:A$40,0)+ROW('Bout Clock'!A$10),N$1,1,,"Bout Clock")))</f>
        <v>0</v>
      </c>
      <c r="O45" s="492" t="str">
        <f ca="1">IF(OR(N45="",N45=0),"",60*E45/N45)</f>
        <v/>
      </c>
      <c r="Q45" s="492">
        <f>Q43+1</f>
        <v>22</v>
      </c>
      <c r="R45" s="493">
        <f ca="1">IF(ISNA(MATCH($Q45,Score!T$4:T$79,0)),"",MATCH($Q45,Score!T$4:T$79,0)++ROW(Score!T$3))</f>
        <v>46</v>
      </c>
      <c r="S45" s="494" t="str">
        <f t="shared" ca="1" si="15"/>
        <v>620</v>
      </c>
      <c r="T45" s="493">
        <f t="shared" ca="1" si="15"/>
        <v>0</v>
      </c>
      <c r="U45" s="492">
        <f ca="1">IF(R45="","",SUM(T45,T46))</f>
        <v>0</v>
      </c>
      <c r="V45" s="492">
        <f ca="1">IF(R45="","",U45-E45)</f>
        <v>-4</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f t="shared" ca="1" si="17"/>
        <v>1</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f ca="1">IF(ISNA(MATCH($A47,Score!A$4:A$79,0)),"",MATCH($A47,Score!A$4:A$79,0)+ROW(Score!A$3))</f>
        <v>48</v>
      </c>
      <c r="C47" s="298" t="str">
        <f t="shared" ca="1" si="12"/>
        <v>80</v>
      </c>
      <c r="D47" s="131">
        <f t="shared" ca="1" si="12"/>
        <v>4</v>
      </c>
      <c r="E47" s="297">
        <f ca="1">IF(B47="","",SUM(D47,D48))</f>
        <v>4</v>
      </c>
      <c r="F47" s="297">
        <f ca="1">IF(B47="","",E47-U47)</f>
        <v>4</v>
      </c>
      <c r="G47" s="501" t="str">
        <f ca="1">IF($B47="","",IF(ISBLANK(INDIRECT(ADDRESS($B47,G$1,1,,"Score"))),"",1))</f>
        <v/>
      </c>
      <c r="H47" s="501">
        <f ca="1">IF($B47="","",IF(ISBLANK(INDIRECT(ADDRESS($B47,H$1,1,,"Score"))),"",1))</f>
        <v>1</v>
      </c>
      <c r="I47" s="491">
        <f ca="1">IF(H47=1,F47,"")</f>
        <v>4</v>
      </c>
      <c r="J47" s="501">
        <f t="shared" ca="1" si="13"/>
        <v>1</v>
      </c>
      <c r="K47" s="501" t="str">
        <f t="shared" ca="1" si="13"/>
        <v/>
      </c>
      <c r="L47" s="501" t="str">
        <f t="shared" ca="1" si="13"/>
        <v/>
      </c>
      <c r="M47" s="131">
        <f t="shared" ca="1" si="14"/>
        <v>1</v>
      </c>
      <c r="N47" s="299">
        <f ca="1">IF(ISNA(MATCH($A47,'Bout Clock'!A$11:A$40,0)),"",INDIRECT(ADDRESS(MATCH($A47,'Bout Clock'!A$11:A$40,0)+ROW('Bout Clock'!A$10),N$1,1,,"Bout Clock")))</f>
        <v>0</v>
      </c>
      <c r="O47" s="299" t="str">
        <f ca="1">IF(OR(N47="",N47=0),"",60*E47/N47)</f>
        <v/>
      </c>
      <c r="Q47" s="297">
        <f>Q45+1</f>
        <v>23</v>
      </c>
      <c r="R47" s="131">
        <f ca="1">IF(ISNA(MATCH($Q47,Score!T$4:T$79,0)),"",MATCH($Q47,Score!T$4:T$79,0)++ROW(Score!T$3))</f>
        <v>48</v>
      </c>
      <c r="S47" s="298" t="str">
        <f t="shared" ca="1" si="15"/>
        <v>9.81</v>
      </c>
      <c r="T47" s="131">
        <f t="shared" ca="1" si="15"/>
        <v>0</v>
      </c>
      <c r="U47" s="297">
        <f ca="1">IF(R47="","",SUM(T47,T48))</f>
        <v>0</v>
      </c>
      <c r="V47" s="297">
        <f ca="1">IF(R47="","",U47-E47)</f>
        <v>-4</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f t="shared" ca="1" si="17"/>
        <v>1</v>
      </c>
      <c r="AD47" s="299">
        <f ca="1">N47</f>
        <v>0</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f ca="1">IF(ISNA(MATCH($A49,Score!A$4:A$79,0)),"",MATCH($A49,Score!A$4:A$79,0)+ROW(Score!A$3))</f>
        <v>50</v>
      </c>
      <c r="C49" s="494" t="str">
        <f t="shared" ca="1" si="12"/>
        <v>20KN</v>
      </c>
      <c r="D49" s="493">
        <f t="shared" ca="1" si="12"/>
        <v>10</v>
      </c>
      <c r="E49" s="492">
        <f ca="1">IF(B49="","",SUM(D49,D50))</f>
        <v>10</v>
      </c>
      <c r="F49" s="492">
        <f ca="1">IF(B49="","",E49-U49)</f>
        <v>6</v>
      </c>
      <c r="G49" s="495">
        <f ca="1">IF($B49="","",IF(ISBLANK(INDIRECT(ADDRESS($B49,G$1,1,,"Score"))),"",1))</f>
        <v>1</v>
      </c>
      <c r="H49" s="495">
        <f ca="1">IF($B49="","",IF(ISBLANK(INDIRECT(ADDRESS($B49,H$1,1,,"Score"))),"",1))</f>
        <v>1</v>
      </c>
      <c r="I49" s="497">
        <f ca="1">IF(H49=1,F49,"")</f>
        <v>6</v>
      </c>
      <c r="J49" s="495" t="str">
        <f t="shared" ca="1" si="13"/>
        <v/>
      </c>
      <c r="K49" s="495" t="str">
        <f t="shared" ca="1" si="13"/>
        <v/>
      </c>
      <c r="L49" s="495" t="str">
        <f t="shared" ca="1" si="13"/>
        <v/>
      </c>
      <c r="M49" s="493">
        <f t="shared" ca="1" si="14"/>
        <v>2</v>
      </c>
      <c r="N49" s="492">
        <f ca="1">IF(ISNA(MATCH($A49,'Bout Clock'!A$11:A$40,0)),"",INDIRECT(ADDRESS(MATCH($A49,'Bout Clock'!A$11:A$40,0)+ROW('Bout Clock'!A$10),N$1,1,,"Bout Clock")))</f>
        <v>0</v>
      </c>
      <c r="O49" s="492" t="str">
        <f ca="1">IF(OR(N49="",N49=0),"",60*E49/N49)</f>
        <v/>
      </c>
      <c r="Q49" s="492">
        <f>Q47+1</f>
        <v>24</v>
      </c>
      <c r="R49" s="493">
        <f ca="1">IF(ISNA(MATCH($Q49,Score!T$4:T$79,0)),"",MATCH($Q49,Score!T$4:T$79,0)++ROW(Score!T$3))</f>
        <v>50</v>
      </c>
      <c r="S49" s="494" t="str">
        <f t="shared" ca="1" si="15"/>
        <v>42</v>
      </c>
      <c r="T49" s="493">
        <f t="shared" ca="1" si="15"/>
        <v>4</v>
      </c>
      <c r="U49" s="492">
        <f ca="1">IF(R49="","",SUM(T49,T50))</f>
        <v>4</v>
      </c>
      <c r="V49" s="492">
        <f ca="1">IF(R49="","",U49-E49)</f>
        <v>-6</v>
      </c>
      <c r="W49" s="495">
        <f ca="1">IF($R49="","",IF(ISBLANK(INDIRECT(ADDRESS($R49,W$1,1,,"Score"))),"",1))</f>
        <v>1</v>
      </c>
      <c r="X49" s="495" t="str">
        <f ca="1">IF($R49="","",IF(ISBLANK(INDIRECT(ADDRESS($R49,X$1,1,,"Score"))),"",1))</f>
        <v/>
      </c>
      <c r="Y49" s="497" t="str">
        <f ca="1">IF(X49=1,V49,"")</f>
        <v/>
      </c>
      <c r="Z49" s="495" t="str">
        <f t="shared" ca="1" si="16"/>
        <v/>
      </c>
      <c r="AA49" s="495" t="str">
        <f t="shared" ca="1" si="16"/>
        <v/>
      </c>
      <c r="AB49" s="495" t="str">
        <f t="shared" ca="1" si="16"/>
        <v/>
      </c>
      <c r="AC49" s="493">
        <f t="shared" ca="1" si="17"/>
        <v>1</v>
      </c>
      <c r="AD49" s="492">
        <f ca="1">N49</f>
        <v>0</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330" t="s">
        <v>35</v>
      </c>
      <c r="B79" s="502"/>
      <c r="C79" s="502"/>
      <c r="D79" s="502"/>
      <c r="E79" s="503">
        <f ca="1">SUM(E3:E78)</f>
        <v>75</v>
      </c>
      <c r="F79" s="504"/>
      <c r="G79" s="500">
        <f ca="1">SUM(G3:G78)</f>
        <v>2</v>
      </c>
      <c r="H79" s="500">
        <f ca="1">SUM(H3:H78)</f>
        <v>15</v>
      </c>
      <c r="I79" s="490"/>
      <c r="J79" s="1331">
        <f ca="1">SUM(J3:J78)</f>
        <v>14</v>
      </c>
      <c r="K79" s="1331">
        <f ca="1">SUM(K3:K78)</f>
        <v>0</v>
      </c>
      <c r="L79" s="500" t="e">
        <f>#VALUE!</f>
        <v>#VALUE!</v>
      </c>
      <c r="M79" s="502"/>
      <c r="N79" s="504" t="s">
        <v>197</v>
      </c>
      <c r="O79" s="503" t="str">
        <f ca="1">IF(COUNT(O3:O78),AVERAGE(O3:O78),"")</f>
        <v/>
      </c>
      <c r="Q79" s="1330" t="s">
        <v>35</v>
      </c>
      <c r="R79" s="502"/>
      <c r="S79" s="502"/>
      <c r="T79" s="502"/>
      <c r="U79" s="503">
        <f ca="1">SUM(U3:U78)</f>
        <v>31</v>
      </c>
      <c r="V79" s="504"/>
      <c r="W79" s="500">
        <f ca="1">SUM(W3:W78)</f>
        <v>4</v>
      </c>
      <c r="X79" s="500">
        <f ca="1">SUM(X3:X78)</f>
        <v>8</v>
      </c>
      <c r="Y79" s="490"/>
      <c r="Z79" s="1331">
        <f ca="1">SUM(Z3:Z78)</f>
        <v>8</v>
      </c>
      <c r="AA79" s="1331">
        <f ca="1">SUM(AA3:AA78)</f>
        <v>0</v>
      </c>
      <c r="AB79" s="500" t="e">
        <f>#VALUE!</f>
        <v>#VALUE!</v>
      </c>
      <c r="AC79" s="502"/>
      <c r="AD79" s="504" t="s">
        <v>197</v>
      </c>
      <c r="AE79" s="503" t="str">
        <f ca="1">IF(COUNT(AE3:AE78),AVERAGE(AE3:AE78),"")</f>
        <v/>
      </c>
    </row>
    <row r="80" spans="1:31">
      <c r="A80" s="1330"/>
      <c r="B80" s="502"/>
      <c r="C80" s="502"/>
      <c r="D80" s="502"/>
      <c r="E80" s="503"/>
      <c r="F80" s="504"/>
      <c r="G80" s="500"/>
      <c r="H80" s="505"/>
      <c r="I80" s="490"/>
      <c r="J80" s="1331"/>
      <c r="K80" s="1331"/>
      <c r="L80" s="500" t="e">
        <f>#VALUE!</f>
        <v>#VALUE!</v>
      </c>
      <c r="M80" s="502"/>
      <c r="N80" s="504"/>
      <c r="O80" s="503"/>
      <c r="Q80" s="1330"/>
      <c r="R80" s="502"/>
      <c r="S80" s="502"/>
      <c r="T80" s="502"/>
      <c r="U80" s="503"/>
      <c r="V80" s="504"/>
      <c r="W80" s="500"/>
      <c r="X80" s="505"/>
      <c r="Y80" s="490"/>
      <c r="Z80" s="1331"/>
      <c r="AA80" s="1331"/>
      <c r="AB80" s="500" t="e">
        <f>#VALUE!</f>
        <v>#VALUE!</v>
      </c>
      <c r="AC80" s="502"/>
      <c r="AD80" s="504"/>
      <c r="AE80" s="503"/>
    </row>
    <row r="86" spans="1:31">
      <c r="A86" s="487" t="s">
        <v>198</v>
      </c>
      <c r="B86" s="487" t="s">
        <v>22</v>
      </c>
      <c r="C86" s="488"/>
      <c r="D86" s="488"/>
      <c r="E86" s="489"/>
      <c r="F86" s="489"/>
      <c r="G86" s="499"/>
      <c r="H86" s="499"/>
      <c r="I86" s="490"/>
      <c r="J86" s="499"/>
      <c r="K86" s="499"/>
      <c r="L86" s="499"/>
      <c r="M86" s="488"/>
      <c r="N86" s="488"/>
      <c r="O86" s="489"/>
      <c r="Q86" s="487" t="s">
        <v>198</v>
      </c>
      <c r="R86" s="487" t="s">
        <v>24</v>
      </c>
      <c r="S86" s="488"/>
      <c r="T86" s="488"/>
      <c r="U86" s="489"/>
      <c r="V86" s="489"/>
      <c r="W86" s="499"/>
      <c r="X86" s="499"/>
      <c r="Y86" s="490"/>
      <c r="Z86" s="499"/>
      <c r="AA86" s="499"/>
      <c r="AB86" s="499"/>
      <c r="AC86" s="488"/>
      <c r="AD86" s="488"/>
      <c r="AE86" s="489"/>
    </row>
    <row r="87" spans="1:31">
      <c r="A87" s="489" t="s">
        <v>12</v>
      </c>
      <c r="B87" s="489" t="s">
        <v>25</v>
      </c>
      <c r="C87" s="489" t="s">
        <v>190</v>
      </c>
      <c r="D87" s="489" t="s">
        <v>274</v>
      </c>
      <c r="E87" s="489" t="s">
        <v>26</v>
      </c>
      <c r="F87" s="489" t="s">
        <v>27</v>
      </c>
      <c r="G87" s="500" t="s">
        <v>28</v>
      </c>
      <c r="H87" s="500" t="s">
        <v>29</v>
      </c>
      <c r="I87" s="490" t="s">
        <v>30</v>
      </c>
      <c r="J87" s="500" t="s">
        <v>31</v>
      </c>
      <c r="K87" s="500" t="s">
        <v>32</v>
      </c>
      <c r="L87" s="500" t="s">
        <v>399</v>
      </c>
      <c r="M87" s="489" t="s">
        <v>522</v>
      </c>
      <c r="N87" s="489" t="s">
        <v>33</v>
      </c>
      <c r="O87" s="489" t="s">
        <v>34</v>
      </c>
      <c r="Q87" s="489" t="s">
        <v>12</v>
      </c>
      <c r="R87" s="489" t="s">
        <v>25</v>
      </c>
      <c r="S87" s="489" t="s">
        <v>190</v>
      </c>
      <c r="T87" s="489" t="s">
        <v>274</v>
      </c>
      <c r="U87" s="489" t="s">
        <v>26</v>
      </c>
      <c r="V87" s="489" t="s">
        <v>27</v>
      </c>
      <c r="W87" s="500" t="s">
        <v>28</v>
      </c>
      <c r="X87" s="500" t="s">
        <v>29</v>
      </c>
      <c r="Y87" s="490" t="s">
        <v>30</v>
      </c>
      <c r="Z87" s="500" t="s">
        <v>31</v>
      </c>
      <c r="AA87" s="500" t="s">
        <v>32</v>
      </c>
      <c r="AB87" s="500" t="s">
        <v>399</v>
      </c>
      <c r="AC87" s="489" t="s">
        <v>522</v>
      </c>
      <c r="AD87" s="489" t="s">
        <v>33</v>
      </c>
      <c r="AE87" s="489" t="s">
        <v>34</v>
      </c>
    </row>
    <row r="88" spans="1:31">
      <c r="A88" s="297">
        <v>1</v>
      </c>
      <c r="B88" s="131">
        <f ca="1">IF(ISNA(MATCH($A88,Score!A$90:A$165,0)),"",MATCH($A88,Score!A$90:A$165,0)+ROW(Score!A$89))</f>
        <v>90</v>
      </c>
      <c r="C88" s="298" t="str">
        <f t="shared" ref="C88:D107" ca="1" si="28">IF($B88="","",INDIRECT(ADDRESS($B88,C$1,1,,"Score")))</f>
        <v>80</v>
      </c>
      <c r="D88" s="131">
        <f t="shared" ca="1" si="28"/>
        <v>0</v>
      </c>
      <c r="E88" s="297">
        <f ca="1">IF(B88="","",SUM(D88,D89))</f>
        <v>0</v>
      </c>
      <c r="F88" s="297">
        <f ca="1">IF(B88="","",E88-U88)</f>
        <v>0</v>
      </c>
      <c r="G88" s="501" t="str">
        <f ca="1">IF($B88="","",IF(ISBLANK(INDIRECT(ADDRESS($B88,G$1,1,,"Score"))),"",1))</f>
        <v/>
      </c>
      <c r="H88" s="501" t="str">
        <f ca="1">IF($B88="","",IF(ISBLANK(INDIRECT(ADDRESS($B88,H$1,1,,"Score"))),"",1))</f>
        <v/>
      </c>
      <c r="I88" s="491" t="str">
        <f ca="1">IF(H88=1,F88,"")</f>
        <v/>
      </c>
      <c r="J88" s="501" t="str">
        <f t="shared" ref="J88:L107" ca="1" si="29">IF($B88="","",IF(ISBLANK(INDIRECT(ADDRESS($B88,J$1,1,,"Score"))),"",1))</f>
        <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620</v>
      </c>
      <c r="T88" s="131">
        <f t="shared" ca="1" si="31"/>
        <v>0</v>
      </c>
      <c r="U88" s="297">
        <f ca="1">IF(R88="","",SUM(T88,T89))</f>
        <v>0</v>
      </c>
      <c r="V88" s="297">
        <f ca="1">IF(R88="","",U88-E88)</f>
        <v>0</v>
      </c>
      <c r="W88" s="501" t="str">
        <f ca="1">IF($R88="","",IF(ISBLANK(INDIRECT(ADDRESS($R88,W$1,1,,"Score"))),"",1))</f>
        <v/>
      </c>
      <c r="X88" s="501">
        <f ca="1">IF($R88="","",IF(ISBLANK(INDIRECT(ADDRESS($R88,X$1,1,,"Score"))),"",1))</f>
        <v>1</v>
      </c>
      <c r="Y88" s="491">
        <f ca="1">IF(X88=1,V88,"")</f>
        <v>0</v>
      </c>
      <c r="Z88" s="501">
        <f t="shared" ref="Z88:AB107" ca="1" si="32">IF($R88="","",IF(ISBLANK(INDIRECT(ADDRESS($R88,Z$1,1,,"Score"))),"",1))</f>
        <v>1</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428</v>
      </c>
      <c r="D90" s="493">
        <f t="shared" ca="1" si="28"/>
        <v>0</v>
      </c>
      <c r="E90" s="492">
        <f ca="1">IF(B90="","",SUM(D90,D91))</f>
        <v>0</v>
      </c>
      <c r="F90" s="492">
        <f ca="1">IF(B90="","",E90-U90)</f>
        <v>0</v>
      </c>
      <c r="G90" s="495" t="str">
        <f ca="1">IF($B90="","",IF(ISBLANK(INDIRECT(ADDRESS($B90,G$1,1,,"Score"))),"",1))</f>
        <v/>
      </c>
      <c r="H90" s="495">
        <f ca="1">IF($B90="","",IF(ISBLANK(INDIRECT(ADDRESS($B90,H$1,1,,"Score"))),"",1))</f>
        <v>1</v>
      </c>
      <c r="I90" s="497">
        <f ca="1">IF(H90=1,F90,"")</f>
        <v>0</v>
      </c>
      <c r="J90" s="495">
        <f t="shared" ca="1" si="29"/>
        <v>1</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50</v>
      </c>
      <c r="T90" s="493">
        <f t="shared" ca="1" si="31"/>
        <v>0</v>
      </c>
      <c r="U90" s="492">
        <f ca="1">IF(R90="","",SUM(T90,T91))</f>
        <v>0</v>
      </c>
      <c r="V90" s="492">
        <f ca="1">IF(R90="","",U90-E90)</f>
        <v>0</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728</v>
      </c>
      <c r="D92" s="131">
        <f t="shared" ca="1" si="28"/>
        <v>3</v>
      </c>
      <c r="E92" s="297">
        <f ca="1">IF(B92="","",SUM(D92,D93))</f>
        <v>3</v>
      </c>
      <c r="F92" s="297">
        <f ca="1">IF(B92="","",E92-U92)</f>
        <v>-7</v>
      </c>
      <c r="G92" s="501">
        <f ca="1">IF($B92="","",IF(ISBLANK(INDIRECT(ADDRESS($B92,G$1,1,,"Score"))),"",1))</f>
        <v>1</v>
      </c>
      <c r="H92" s="501">
        <f ca="1">IF($B92="","",IF(ISBLANK(INDIRECT(ADDRESS($B92,H$1,1,,"Score"))),"",1))</f>
        <v>1</v>
      </c>
      <c r="I92" s="491">
        <f ca="1">IF(H92=1,F92,"")</f>
        <v>-7</v>
      </c>
      <c r="J92" s="501" t="str">
        <f t="shared" ca="1" si="29"/>
        <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9.81</v>
      </c>
      <c r="T92" s="131">
        <f t="shared" ca="1" si="31"/>
        <v>10</v>
      </c>
      <c r="U92" s="297">
        <f ca="1">IF(R92="","",SUM(T92,T93))</f>
        <v>10</v>
      </c>
      <c r="V92" s="297">
        <f ca="1">IF(R92="","",U92-E92)</f>
        <v>7</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2</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728</v>
      </c>
      <c r="D94" s="493">
        <f t="shared" ca="1" si="28"/>
        <v>0</v>
      </c>
      <c r="E94" s="492">
        <f ca="1">IF(B94="","",SUM(D94,D95))</f>
        <v>0</v>
      </c>
      <c r="F94" s="492">
        <f ca="1">IF(B94="","",E94-U94)</f>
        <v>-4</v>
      </c>
      <c r="G94" s="495" t="str">
        <f ca="1">IF($B94="","",IF(ISBLANK(INDIRECT(ADDRESS($B94,G$1,1,,"Score"))),"",1))</f>
        <v/>
      </c>
      <c r="H94" s="495" t="str">
        <f ca="1">IF($B94="","",IF(ISBLANK(INDIRECT(ADDRESS($B94,H$1,1,,"Score"))),"",1))</f>
        <v/>
      </c>
      <c r="I94" s="497" t="str">
        <f ca="1">IF(H94=1,F94,"")</f>
        <v/>
      </c>
      <c r="J94" s="495" t="str">
        <f t="shared" ca="1" si="29"/>
        <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620</v>
      </c>
      <c r="T94" s="493">
        <f t="shared" ca="1" si="31"/>
        <v>4</v>
      </c>
      <c r="U94" s="492">
        <f ca="1">IF(R94="","",SUM(T94,T95))</f>
        <v>4</v>
      </c>
      <c r="V94" s="492">
        <f ca="1">IF(R94="","",U94-E94)</f>
        <v>4</v>
      </c>
      <c r="W94" s="495" t="str">
        <f ca="1">IF($R94="","",IF(ISBLANK(INDIRECT(ADDRESS($R94,W$1,1,,"Score"))),"",1))</f>
        <v/>
      </c>
      <c r="X94" s="495">
        <f ca="1">IF($R94="","",IF(ISBLANK(INDIRECT(ADDRESS($R94,X$1,1,,"Score"))),"",1))</f>
        <v>1</v>
      </c>
      <c r="Y94" s="497">
        <f ca="1">IF(X94=1,V94,"")</f>
        <v>4</v>
      </c>
      <c r="Z94" s="495">
        <f t="shared" ca="1" si="32"/>
        <v>1</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80</v>
      </c>
      <c r="D96" s="131">
        <f t="shared" ca="1" si="28"/>
        <v>0</v>
      </c>
      <c r="E96" s="297">
        <f ca="1">IF(B96="","",SUM(D96,D97))</f>
        <v>0</v>
      </c>
      <c r="F96" s="297">
        <f ca="1">IF(B96="","",E96-U96)</f>
        <v>-3</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50</v>
      </c>
      <c r="T96" s="131">
        <f t="shared" ca="1" si="31"/>
        <v>3</v>
      </c>
      <c r="U96" s="297">
        <f ca="1">IF(R96="","",SUM(T96,T97))</f>
        <v>3</v>
      </c>
      <c r="V96" s="297">
        <f ca="1">IF(R96="","",U96-E96)</f>
        <v>3</v>
      </c>
      <c r="W96" s="501" t="str">
        <f ca="1">IF($R96="","",IF(ISBLANK(INDIRECT(ADDRESS($R96,W$1,1,,"Score"))),"",1))</f>
        <v/>
      </c>
      <c r="X96" s="501">
        <f ca="1">IF($R96="","",IF(ISBLANK(INDIRECT(ADDRESS($R96,X$1,1,,"Score"))),"",1))</f>
        <v>1</v>
      </c>
      <c r="Y96" s="491">
        <f ca="1">IF(X96=1,V96,"")</f>
        <v>3</v>
      </c>
      <c r="Z96" s="501">
        <f t="shared" ca="1" si="32"/>
        <v>1</v>
      </c>
      <c r="AA96" s="501" t="str">
        <f t="shared" ca="1" si="32"/>
        <v/>
      </c>
      <c r="AB96" s="501" t="str">
        <f t="shared" ca="1" si="32"/>
        <v/>
      </c>
      <c r="AC96" s="131">
        <f t="shared" ca="1" si="33"/>
        <v>1</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428</v>
      </c>
      <c r="D98" s="493">
        <f t="shared" ca="1" si="28"/>
        <v>0</v>
      </c>
      <c r="E98" s="492">
        <f ca="1">IF(B98="","",SUM(D98,D99))</f>
        <v>0</v>
      </c>
      <c r="F98" s="492">
        <f ca="1">IF(B98="","",E98-U98)</f>
        <v>-3</v>
      </c>
      <c r="G98" s="495" t="str">
        <f ca="1">IF($B98="","",IF(ISBLANK(INDIRECT(ADDRESS($B98,G$1,1,,"Score"))),"",1))</f>
        <v/>
      </c>
      <c r="H98" s="495" t="str">
        <f ca="1">IF($B98="","",IF(ISBLANK(INDIRECT(ADDRESS($B98,H$1,1,,"Score"))),"",1))</f>
        <v/>
      </c>
      <c r="I98" s="497" t="str">
        <f ca="1">IF(H98=1,F98,"")</f>
        <v/>
      </c>
      <c r="J98" s="495" t="str">
        <f t="shared" ca="1" si="29"/>
        <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9.81</v>
      </c>
      <c r="T98" s="493">
        <f t="shared" ca="1" si="31"/>
        <v>3</v>
      </c>
      <c r="U98" s="492">
        <f ca="1">IF(R98="","",SUM(T98,T99))</f>
        <v>3</v>
      </c>
      <c r="V98" s="492">
        <f ca="1">IF(R98="","",U98-E98)</f>
        <v>3</v>
      </c>
      <c r="W98" s="495" t="str">
        <f ca="1">IF($R98="","",IF(ISBLANK(INDIRECT(ADDRESS($R98,W$1,1,,"Score"))),"",1))</f>
        <v/>
      </c>
      <c r="X98" s="495">
        <f ca="1">IF($R98="","",IF(ISBLANK(INDIRECT(ADDRESS($R98,X$1,1,,"Score"))),"",1))</f>
        <v>1</v>
      </c>
      <c r="Y98" s="497">
        <f ca="1">IF(X98=1,V98,"")</f>
        <v>3</v>
      </c>
      <c r="Z98" s="495">
        <f t="shared" ca="1" si="32"/>
        <v>1</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80</v>
      </c>
      <c r="D100" s="131">
        <f t="shared" ca="1" si="28"/>
        <v>3</v>
      </c>
      <c r="E100" s="297">
        <f ca="1">IF(B100="","",SUM(D100,D101))</f>
        <v>3</v>
      </c>
      <c r="F100" s="297">
        <f ca="1">IF(B100="","",E100-U100)</f>
        <v>1</v>
      </c>
      <c r="G100" s="501" t="str">
        <f ca="1">IF($B100="","",IF(ISBLANK(INDIRECT(ADDRESS($B100,G$1,1,,"Score"))),"",1))</f>
        <v/>
      </c>
      <c r="H100" s="501">
        <f ca="1">IF($B100="","",IF(ISBLANK(INDIRECT(ADDRESS($B100,H$1,1,,"Score"))),"",1))</f>
        <v>1</v>
      </c>
      <c r="I100" s="491">
        <f ca="1">IF(H100=1,F100,"")</f>
        <v>1</v>
      </c>
      <c r="J100" s="501">
        <f t="shared" ca="1" si="29"/>
        <v>1</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620</v>
      </c>
      <c r="T100" s="131">
        <f t="shared" ca="1" si="31"/>
        <v>2</v>
      </c>
      <c r="U100" s="297">
        <f ca="1">IF(R100="","",SUM(T100,T101))</f>
        <v>2</v>
      </c>
      <c r="V100" s="297">
        <f ca="1">IF(R100="","",U100-E100)</f>
        <v>-1</v>
      </c>
      <c r="W100" s="501" t="str">
        <f ca="1">IF($R100="","",IF(ISBLANK(INDIRECT(ADDRESS($R100,W$1,1,,"Score"))),"",1))</f>
        <v/>
      </c>
      <c r="X100" s="501" t="str">
        <f ca="1">IF($R100="","",IF(ISBLANK(INDIRECT(ADDRESS($R100,X$1,1,,"Score"))),"",1))</f>
        <v/>
      </c>
      <c r="Y100" s="491" t="str">
        <f ca="1">IF(X100=1,V100,"")</f>
        <v/>
      </c>
      <c r="Z100" s="501" t="str">
        <f t="shared" ca="1" si="32"/>
        <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428</v>
      </c>
      <c r="D102" s="493">
        <f t="shared" ca="1" si="28"/>
        <v>0</v>
      </c>
      <c r="E102" s="492">
        <f ca="1">IF(B102="","",SUM(D102,D103))</f>
        <v>0</v>
      </c>
      <c r="F102" s="492">
        <f ca="1">IF(B102="","",E102-U102)</f>
        <v>-12</v>
      </c>
      <c r="G102" s="495" t="str">
        <f ca="1">IF($B102="","",IF(ISBLANK(INDIRECT(ADDRESS($B102,G$1,1,,"Score"))),"",1))</f>
        <v/>
      </c>
      <c r="H102" s="495" t="str">
        <f ca="1">IF($B102="","",IF(ISBLANK(INDIRECT(ADDRESS($B102,H$1,1,,"Score"))),"",1))</f>
        <v/>
      </c>
      <c r="I102" s="497" t="str">
        <f ca="1">IF(H102=1,F102,"")</f>
        <v/>
      </c>
      <c r="J102" s="495" t="str">
        <f t="shared" ca="1" si="29"/>
        <v/>
      </c>
      <c r="K102" s="495" t="str">
        <f t="shared" ca="1" si="29"/>
        <v/>
      </c>
      <c r="L102" s="495" t="str">
        <f t="shared" ca="1" si="29"/>
        <v/>
      </c>
      <c r="M102" s="493">
        <f t="shared" ca="1" si="30"/>
        <v>1</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50</v>
      </c>
      <c r="T102" s="493">
        <f t="shared" ca="1" si="31"/>
        <v>12</v>
      </c>
      <c r="U102" s="492">
        <f ca="1">IF(R102="","",SUM(T102,T103))</f>
        <v>12</v>
      </c>
      <c r="V102" s="492">
        <f ca="1">IF(R102="","",U102-E102)</f>
        <v>12</v>
      </c>
      <c r="W102" s="495" t="str">
        <f ca="1">IF($R102="","",IF(ISBLANK(INDIRECT(ADDRESS($R102,W$1,1,,"Score"))),"",1))</f>
        <v/>
      </c>
      <c r="X102" s="495">
        <f ca="1">IF($R102="","",IF(ISBLANK(INDIRECT(ADDRESS($R102,X$1,1,,"Score"))),"",1))</f>
        <v>1</v>
      </c>
      <c r="Y102" s="497">
        <f ca="1">IF(X102=1,V102,"")</f>
        <v>12</v>
      </c>
      <c r="Z102" s="495">
        <f t="shared" ca="1" si="32"/>
        <v>1</v>
      </c>
      <c r="AA102" s="495" t="str">
        <f t="shared" ca="1" si="32"/>
        <v/>
      </c>
      <c r="AB102" s="495" t="str">
        <f t="shared" ca="1" si="32"/>
        <v/>
      </c>
      <c r="AC102" s="493">
        <f t="shared" ca="1" si="33"/>
        <v>3</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80</v>
      </c>
      <c r="D104" s="131">
        <f t="shared" ca="1" si="28"/>
        <v>4</v>
      </c>
      <c r="E104" s="297">
        <f ca="1">IF(B104="","",SUM(D104,D105))</f>
        <v>4</v>
      </c>
      <c r="F104" s="297">
        <f ca="1">IF(B104="","",E104-U104)</f>
        <v>4</v>
      </c>
      <c r="G104" s="501" t="str">
        <f ca="1">IF($B104="","",IF(ISBLANK(INDIRECT(ADDRESS($B104,G$1,1,,"Score"))),"",1))</f>
        <v/>
      </c>
      <c r="H104" s="501">
        <f ca="1">IF($B104="","",IF(ISBLANK(INDIRECT(ADDRESS($B104,H$1,1,,"Score"))),"",1))</f>
        <v>1</v>
      </c>
      <c r="I104" s="491">
        <f ca="1">IF(H104=1,F104,"")</f>
        <v>4</v>
      </c>
      <c r="J104" s="501">
        <f t="shared" ca="1" si="29"/>
        <v>1</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9.81</v>
      </c>
      <c r="T104" s="131">
        <f t="shared" ca="1" si="31"/>
        <v>0</v>
      </c>
      <c r="U104" s="297">
        <f ca="1">IF(R104="","",SUM(T104,T105))</f>
        <v>0</v>
      </c>
      <c r="V104" s="297">
        <f ca="1">IF(R104="","",U104-E104)</f>
        <v>-4</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428</v>
      </c>
      <c r="D106" s="493">
        <f t="shared" ca="1" si="28"/>
        <v>0</v>
      </c>
      <c r="E106" s="492">
        <f ca="1">IF(B106="","",SUM(D106,D107))</f>
        <v>0</v>
      </c>
      <c r="F106" s="492">
        <f ca="1">IF(B106="","",E106-U106)</f>
        <v>-19</v>
      </c>
      <c r="G106" s="495" t="str">
        <f ca="1">IF($B106="","",IF(ISBLANK(INDIRECT(ADDRESS($B106,G$1,1,,"Score"))),"",1))</f>
        <v/>
      </c>
      <c r="H106" s="495" t="str">
        <f ca="1">IF($B106="","",IF(ISBLANK(INDIRECT(ADDRESS($B106,H$1,1,,"Score"))),"",1))</f>
        <v/>
      </c>
      <c r="I106" s="497" t="str">
        <f ca="1">IF(H106=1,F106,"")</f>
        <v/>
      </c>
      <c r="J106" s="495" t="str">
        <f t="shared" ca="1" si="29"/>
        <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620</v>
      </c>
      <c r="T106" s="493">
        <f t="shared" ca="1" si="31"/>
        <v>19</v>
      </c>
      <c r="U106" s="492">
        <f ca="1">IF(R106="","",SUM(T106,T107))</f>
        <v>19</v>
      </c>
      <c r="V106" s="492">
        <f ca="1">IF(R106="","",U106-E106)</f>
        <v>19</v>
      </c>
      <c r="W106" s="495" t="str">
        <f ca="1">IF($R106="","",IF(ISBLANK(INDIRECT(ADDRESS($R106,W$1,1,,"Score"))),"",1))</f>
        <v/>
      </c>
      <c r="X106" s="495">
        <f ca="1">IF($R106="","",IF(ISBLANK(INDIRECT(ADDRESS($R106,X$1,1,,"Score"))),"",1))</f>
        <v>1</v>
      </c>
      <c r="Y106" s="497">
        <f ca="1">IF(X106=1,V106,"")</f>
        <v>19</v>
      </c>
      <c r="Z106" s="495">
        <f t="shared" ca="1" si="32"/>
        <v>1</v>
      </c>
      <c r="AA106" s="495" t="str">
        <f t="shared" ca="1" si="32"/>
        <v/>
      </c>
      <c r="AB106" s="495" t="str">
        <f t="shared" ca="1" si="32"/>
        <v/>
      </c>
      <c r="AC106" s="493">
        <f t="shared" ca="1" si="33"/>
        <v>4</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428</v>
      </c>
      <c r="D108" s="131">
        <f t="shared" ca="1" si="34"/>
        <v>8</v>
      </c>
      <c r="E108" s="297">
        <f ca="1">IF(B108="","",SUM(D108,D109))</f>
        <v>8</v>
      </c>
      <c r="F108" s="297">
        <f ca="1">IF(B108="","",E108-U108)</f>
        <v>8</v>
      </c>
      <c r="G108" s="501" t="str">
        <f ca="1">IF($B108="","",IF(ISBLANK(INDIRECT(ADDRESS($B108,G$1,1,,"Score"))),"",1))</f>
        <v/>
      </c>
      <c r="H108" s="501">
        <f ca="1">IF($B108="","",IF(ISBLANK(INDIRECT(ADDRESS($B108,H$1,1,,"Score"))),"",1))</f>
        <v>1</v>
      </c>
      <c r="I108" s="491">
        <f ca="1">IF(H108=1,F108,"")</f>
        <v>8</v>
      </c>
      <c r="J108" s="501" t="str">
        <f t="shared" ref="J108:L127" ca="1" si="35">IF($B108="","",IF(ISBLANK(INDIRECT(ADDRESS($B108,J$1,1,,"Score"))),"",1))</f>
        <v/>
      </c>
      <c r="K108" s="501" t="str">
        <f t="shared" ca="1" si="35"/>
        <v/>
      </c>
      <c r="L108" s="501" t="str">
        <f t="shared" ca="1" si="35"/>
        <v/>
      </c>
      <c r="M108" s="131">
        <f t="shared" ref="M108:M127" ca="1" si="36">IF($B108="","",INDIRECT(ADDRESS($B108,M$1,1,,"Score")))</f>
        <v>2</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9.81</v>
      </c>
      <c r="T108" s="131">
        <f t="shared" ca="1" si="37"/>
        <v>0</v>
      </c>
      <c r="U108" s="297">
        <f ca="1">IF(R108="","",SUM(T108,T109))</f>
        <v>0</v>
      </c>
      <c r="V108" s="297">
        <f ca="1">IF(R108="","",U108-E108)</f>
        <v>-8</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80</v>
      </c>
      <c r="D110" s="493">
        <f t="shared" ca="1" si="34"/>
        <v>0</v>
      </c>
      <c r="E110" s="492">
        <f ca="1">IF(B110="","",SUM(D110,D111))</f>
        <v>0</v>
      </c>
      <c r="F110" s="492">
        <f ca="1">IF(B110="","",E110-U110)</f>
        <v>0</v>
      </c>
      <c r="G110" s="495" t="str">
        <f ca="1">IF($B110="","",IF(ISBLANK(INDIRECT(ADDRESS($B110,G$1,1,,"Score"))),"",1))</f>
        <v/>
      </c>
      <c r="H110" s="495" t="str">
        <f ca="1">IF($B110="","",IF(ISBLANK(INDIRECT(ADDRESS($B110,H$1,1,,"Score"))),"",1))</f>
        <v/>
      </c>
      <c r="I110" s="497" t="str">
        <f ca="1">IF(H110=1,F110,"")</f>
        <v/>
      </c>
      <c r="J110" s="495" t="str">
        <f t="shared" ca="1" si="35"/>
        <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50</v>
      </c>
      <c r="T110" s="493">
        <f t="shared" ca="1" si="37"/>
        <v>0</v>
      </c>
      <c r="U110" s="492">
        <f ca="1">IF(R110="","",SUM(T110,T111))</f>
        <v>0</v>
      </c>
      <c r="V110" s="492">
        <f ca="1">IF(R110="","",U110-E110)</f>
        <v>0</v>
      </c>
      <c r="W110" s="495" t="str">
        <f ca="1">IF($R110="","",IF(ISBLANK(INDIRECT(ADDRESS($R110,W$1,1,,"Score"))),"",1))</f>
        <v/>
      </c>
      <c r="X110" s="495">
        <f ca="1">IF($R110="","",IF(ISBLANK(INDIRECT(ADDRESS($R110,X$1,1,,"Score"))),"",1))</f>
        <v>1</v>
      </c>
      <c r="Y110" s="497">
        <f ca="1">IF(X110=1,V110,"")</f>
        <v>0</v>
      </c>
      <c r="Z110" s="495">
        <f t="shared" ca="1" si="38"/>
        <v>1</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33 1/3</v>
      </c>
      <c r="D112" s="131">
        <f t="shared" ca="1" si="34"/>
        <v>10</v>
      </c>
      <c r="E112" s="297">
        <f ca="1">IF(B112="","",SUM(D112,D113))</f>
        <v>10</v>
      </c>
      <c r="F112" s="297">
        <f ca="1">IF(B112="","",E112-U112)</f>
        <v>10</v>
      </c>
      <c r="G112" s="501" t="str">
        <f ca="1">IF($B112="","",IF(ISBLANK(INDIRECT(ADDRESS($B112,G$1,1,,"Score"))),"",1))</f>
        <v/>
      </c>
      <c r="H112" s="501">
        <f ca="1">IF($B112="","",IF(ISBLANK(INDIRECT(ADDRESS($B112,H$1,1,,"Score"))),"",1))</f>
        <v>1</v>
      </c>
      <c r="I112" s="491">
        <f ca="1">IF(H112=1,F112,"")</f>
        <v>10</v>
      </c>
      <c r="J112" s="501">
        <f t="shared" ca="1" si="35"/>
        <v>1</v>
      </c>
      <c r="K112" s="501" t="str">
        <f t="shared" ca="1" si="35"/>
        <v/>
      </c>
      <c r="L112" s="501" t="str">
        <f t="shared" ca="1" si="35"/>
        <v/>
      </c>
      <c r="M112" s="131">
        <f t="shared" ca="1" si="36"/>
        <v>2</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620</v>
      </c>
      <c r="T112" s="131">
        <f t="shared" ca="1" si="37"/>
        <v>0</v>
      </c>
      <c r="U112" s="297">
        <f ca="1">IF(R112="","",SUM(T112,T113))</f>
        <v>0</v>
      </c>
      <c r="V112" s="297">
        <f ca="1">IF(R112="","",U112-E112)</f>
        <v>-10</v>
      </c>
      <c r="W112" s="501" t="str">
        <f ca="1">IF($R112="","",IF(ISBLANK(INDIRECT(ADDRESS($R112,W$1,1,,"Score"))),"",1))</f>
        <v/>
      </c>
      <c r="X112" s="501" t="str">
        <f ca="1">IF($R112="","",IF(ISBLANK(INDIRECT(ADDRESS($R112,X$1,1,,"Score"))),"",1))</f>
        <v/>
      </c>
      <c r="Y112" s="491" t="str">
        <f ca="1">IF(X112=1,V112,"")</f>
        <v/>
      </c>
      <c r="Z112" s="501" t="str">
        <f t="shared" ca="1" si="38"/>
        <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428</v>
      </c>
      <c r="D114" s="493">
        <f t="shared" ca="1" si="34"/>
        <v>2</v>
      </c>
      <c r="E114" s="492">
        <f ca="1">IF(B114="","",SUM(D114,D115))</f>
        <v>2</v>
      </c>
      <c r="F114" s="492">
        <f ca="1">IF(B114="","",E114-U114)</f>
        <v>1</v>
      </c>
      <c r="G114" s="495" t="str">
        <f ca="1">IF($B114="","",IF(ISBLANK(INDIRECT(ADDRESS($B114,G$1,1,,"Score"))),"",1))</f>
        <v/>
      </c>
      <c r="H114" s="495">
        <f ca="1">IF($B114="","",IF(ISBLANK(INDIRECT(ADDRESS($B114,H$1,1,,"Score"))),"",1))</f>
        <v>1</v>
      </c>
      <c r="I114" s="497">
        <f ca="1">IF(H114=1,F114,"")</f>
        <v>1</v>
      </c>
      <c r="J114" s="495">
        <f t="shared" ca="1" si="35"/>
        <v>1</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620</v>
      </c>
      <c r="T114" s="493">
        <f t="shared" ca="1" si="37"/>
        <v>1</v>
      </c>
      <c r="U114" s="492">
        <f ca="1">IF(R114="","",SUM(T114,T115))</f>
        <v>1</v>
      </c>
      <c r="V114" s="492">
        <f ca="1">IF(R114="","",U114-E114)</f>
        <v>-1</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33 1/3</v>
      </c>
      <c r="D116" s="131">
        <f t="shared" ca="1" si="34"/>
        <v>13</v>
      </c>
      <c r="E116" s="297">
        <f ca="1">IF(B116="","",SUM(D116,D117))</f>
        <v>13</v>
      </c>
      <c r="F116" s="297">
        <f ca="1">IF(B116="","",E116-U116)</f>
        <v>12</v>
      </c>
      <c r="G116" s="501" t="str">
        <f ca="1">IF($B116="","",IF(ISBLANK(INDIRECT(ADDRESS($B116,G$1,1,,"Score"))),"",1))</f>
        <v/>
      </c>
      <c r="H116" s="501" t="str">
        <f ca="1">IF($B116="","",IF(ISBLANK(INDIRECT(ADDRESS($B116,H$1,1,,"Score"))),"",1))</f>
        <v/>
      </c>
      <c r="I116" s="491" t="str">
        <f ca="1">IF(H116=1,F116,"")</f>
        <v/>
      </c>
      <c r="J116" s="501" t="str">
        <f t="shared" ca="1" si="35"/>
        <v/>
      </c>
      <c r="K116" s="501" t="str">
        <f t="shared" ca="1" si="35"/>
        <v/>
      </c>
      <c r="L116" s="501" t="str">
        <f t="shared" ca="1" si="35"/>
        <v/>
      </c>
      <c r="M116" s="131">
        <f t="shared" ca="1" si="36"/>
        <v>3</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72</v>
      </c>
      <c r="T116" s="131">
        <f t="shared" ca="1" si="37"/>
        <v>0</v>
      </c>
      <c r="U116" s="297">
        <f ca="1">IF(R116="","",SUM(T116,T117))</f>
        <v>1</v>
      </c>
      <c r="V116" s="297">
        <f ca="1">IF(R116="","",U116-E116)</f>
        <v>-12</v>
      </c>
      <c r="W116" s="501">
        <f ca="1">IF($R116="","",IF(ISBLANK(INDIRECT(ADDRESS($R116,W$1,1,,"Score"))),"",1))</f>
        <v>1</v>
      </c>
      <c r="X116" s="501">
        <f ca="1">IF($R116="","",IF(ISBLANK(INDIRECT(ADDRESS($R116,X$1,1,,"Score"))),"",1))</f>
        <v>1</v>
      </c>
      <c r="Y116" s="491">
        <f ca="1">IF(X116=1,V116,"")</f>
        <v>-12</v>
      </c>
      <c r="Z116" s="501" t="str">
        <f t="shared" ca="1" si="38"/>
        <v/>
      </c>
      <c r="AA116" s="501" t="str">
        <f t="shared" ca="1" si="38"/>
        <v/>
      </c>
      <c r="AB116" s="501">
        <f t="shared" ca="1" si="38"/>
        <v>1</v>
      </c>
      <c r="AC116" s="131">
        <f t="shared" ca="1" si="39"/>
        <v>0</v>
      </c>
      <c r="AD116" s="299">
        <f ca="1">N116</f>
        <v>0</v>
      </c>
      <c r="AE116" s="299" t="str">
        <f ca="1">IF(OR(AD116="",AD116=0),"",60*U116/AD116)</f>
        <v/>
      </c>
    </row>
    <row r="117" spans="1:31">
      <c r="A117" s="297"/>
      <c r="B117" s="131">
        <f ca="1">IF($B116="","",IF(INDIRECT(ADDRESS($B116+2,C$1-1,1,,"Score"))="SP",$B116+2,""))</f>
        <v>120</v>
      </c>
      <c r="C117" s="298">
        <f t="shared" ca="1" si="34"/>
        <v>0</v>
      </c>
      <c r="D117" s="131">
        <f t="shared" ca="1" si="34"/>
        <v>0</v>
      </c>
      <c r="E117" s="297"/>
      <c r="F117" s="297"/>
      <c r="G117" s="501"/>
      <c r="H117" s="501"/>
      <c r="I117" s="491"/>
      <c r="J117" s="501" t="str">
        <f t="shared" ca="1" si="35"/>
        <v/>
      </c>
      <c r="K117" s="501" t="str">
        <f t="shared" ca="1" si="35"/>
        <v/>
      </c>
      <c r="L117" s="501" t="str">
        <f t="shared" ca="1" si="35"/>
        <v/>
      </c>
      <c r="M117" s="131">
        <f t="shared" ca="1" si="36"/>
        <v>0</v>
      </c>
      <c r="N117" s="299"/>
      <c r="O117" s="299"/>
      <c r="Q117" s="297"/>
      <c r="R117" s="131">
        <f ca="1">IF($R116="","",IF(INDIRECT(ADDRESS($R116+2,S$1-1,1,,"Score"))="SP",$R116+2,""))</f>
        <v>120</v>
      </c>
      <c r="S117" s="298" t="str">
        <f t="shared" ca="1" si="37"/>
        <v>W00T</v>
      </c>
      <c r="T117" s="131">
        <f t="shared" ca="1" si="37"/>
        <v>1</v>
      </c>
      <c r="U117" s="297"/>
      <c r="V117" s="297"/>
      <c r="W117" s="501"/>
      <c r="X117" s="501"/>
      <c r="Y117" s="491"/>
      <c r="Z117" s="501" t="str">
        <f t="shared" ca="1" si="38"/>
        <v/>
      </c>
      <c r="AA117" s="501" t="str">
        <f t="shared" ca="1" si="38"/>
        <v/>
      </c>
      <c r="AB117" s="501" t="str">
        <f t="shared" ca="1" si="38"/>
        <v/>
      </c>
      <c r="AC117" s="131">
        <f t="shared" ca="1" si="39"/>
        <v>1</v>
      </c>
      <c r="AD117" s="299"/>
      <c r="AE117" s="299"/>
    </row>
    <row r="118" spans="1:31">
      <c r="A118" s="492">
        <f>A116+1</f>
        <v>16</v>
      </c>
      <c r="B118" s="493">
        <f ca="1">IF(ISNA(MATCH($A118,Score!A$90:A$165,0)),"",MATCH($A118,Score!A$90:A$165,0)+ROW(Score!A$89))</f>
        <v>122</v>
      </c>
      <c r="C118" s="494" t="str">
        <f t="shared" ca="1" si="34"/>
        <v>428</v>
      </c>
      <c r="D118" s="493">
        <f t="shared" ca="1" si="34"/>
        <v>5</v>
      </c>
      <c r="E118" s="492">
        <f ca="1">IF(B118="","",SUM(D118,D119))</f>
        <v>5</v>
      </c>
      <c r="F118" s="492">
        <f ca="1">IF(B118="","",E118-U118)</f>
        <v>5</v>
      </c>
      <c r="G118" s="495" t="str">
        <f ca="1">IF($B118="","",IF(ISBLANK(INDIRECT(ADDRESS($B118,G$1,1,,"Score"))),"",1))</f>
        <v/>
      </c>
      <c r="H118" s="495">
        <f ca="1">IF($B118="","",IF(ISBLANK(INDIRECT(ADDRESS($B118,H$1,1,,"Score"))),"",1))</f>
        <v>1</v>
      </c>
      <c r="I118" s="497">
        <f ca="1">IF(H118=1,F118,"")</f>
        <v>5</v>
      </c>
      <c r="J118" s="495" t="str">
        <f t="shared" ca="1" si="35"/>
        <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122</v>
      </c>
      <c r="S118" s="494" t="str">
        <f t="shared" ca="1" si="37"/>
        <v>50</v>
      </c>
      <c r="T118" s="493">
        <f t="shared" ca="1" si="37"/>
        <v>0</v>
      </c>
      <c r="U118" s="492">
        <f ca="1">IF(R118="","",SUM(T118,T119))</f>
        <v>0</v>
      </c>
      <c r="V118" s="492">
        <f ca="1">IF(R118="","",U118-E118)</f>
        <v>-5</v>
      </c>
      <c r="W118" s="495" t="str">
        <f ca="1">IF($R118="","",IF(ISBLANK(INDIRECT(ADDRESS($R118,W$1,1,,"Score"))),"",1))</f>
        <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124</v>
      </c>
      <c r="C120" s="298" t="str">
        <f t="shared" ca="1" si="34"/>
        <v>728</v>
      </c>
      <c r="D120" s="131">
        <f t="shared" ca="1" si="34"/>
        <v>4</v>
      </c>
      <c r="E120" s="297">
        <f ca="1">IF(B120="","",SUM(D120,D121))</f>
        <v>4</v>
      </c>
      <c r="F120" s="297">
        <f ca="1">IF(B120="","",E120-U120)</f>
        <v>-1</v>
      </c>
      <c r="G120" s="501">
        <f ca="1">IF($B120="","",IF(ISBLANK(INDIRECT(ADDRESS($B120,G$1,1,,"Score"))),"",1))</f>
        <v>1</v>
      </c>
      <c r="H120" s="501" t="str">
        <f ca="1">IF($B120="","",IF(ISBLANK(INDIRECT(ADDRESS($B120,H$1,1,,"Score"))),"",1))</f>
        <v/>
      </c>
      <c r="I120" s="491" t="str">
        <f ca="1">IF(H120=1,F120,"")</f>
        <v/>
      </c>
      <c r="J120" s="501" t="str">
        <f t="shared" ca="1" si="35"/>
        <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124</v>
      </c>
      <c r="S120" s="298" t="str">
        <f t="shared" ca="1" si="37"/>
        <v>50</v>
      </c>
      <c r="T120" s="131">
        <f t="shared" ca="1" si="37"/>
        <v>5</v>
      </c>
      <c r="U120" s="297">
        <f ca="1">IF(R120="","",SUM(T120,T121))</f>
        <v>5</v>
      </c>
      <c r="V120" s="297">
        <f ca="1">IF(R120="","",U120-E120)</f>
        <v>1</v>
      </c>
      <c r="W120" s="501">
        <f ca="1">IF($R120="","",IF(ISBLANK(INDIRECT(ADDRESS($R120,W$1,1,,"Score"))),"",1))</f>
        <v>1</v>
      </c>
      <c r="X120" s="501">
        <f ca="1">IF($R120="","",IF(ISBLANK(INDIRECT(ADDRESS($R120,X$1,1,,"Score"))),"",1))</f>
        <v>1</v>
      </c>
      <c r="Y120" s="491">
        <f ca="1">IF(X120=1,V120,"")</f>
        <v>1</v>
      </c>
      <c r="Z120" s="501" t="str">
        <f t="shared" ca="1" si="38"/>
        <v/>
      </c>
      <c r="AA120" s="501" t="str">
        <f t="shared" ca="1" si="38"/>
        <v/>
      </c>
      <c r="AB120" s="501" t="str">
        <f t="shared" ca="1" si="38"/>
        <v/>
      </c>
      <c r="AC120" s="131">
        <f t="shared" ca="1" si="39"/>
        <v>1</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126</v>
      </c>
      <c r="C122" s="494" t="str">
        <f t="shared" ca="1" si="34"/>
        <v>728</v>
      </c>
      <c r="D122" s="493">
        <f t="shared" ca="1" si="34"/>
        <v>0</v>
      </c>
      <c r="E122" s="492">
        <f ca="1">IF(B122="","",SUM(D122,D123))</f>
        <v>0</v>
      </c>
      <c r="F122" s="492">
        <f ca="1">IF(B122="","",E122-U122)</f>
        <v>-9</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126</v>
      </c>
      <c r="S122" s="494" t="str">
        <f t="shared" ca="1" si="37"/>
        <v>9.81</v>
      </c>
      <c r="T122" s="493">
        <f t="shared" ca="1" si="37"/>
        <v>9</v>
      </c>
      <c r="U122" s="492">
        <f ca="1">IF(R122="","",SUM(T122,T123))</f>
        <v>9</v>
      </c>
      <c r="V122" s="492">
        <f ca="1">IF(R122="","",U122-E122)</f>
        <v>9</v>
      </c>
      <c r="W122" s="495" t="str">
        <f ca="1">IF($R122="","",IF(ISBLANK(INDIRECT(ADDRESS($R122,W$1,1,,"Score"))),"",1))</f>
        <v/>
      </c>
      <c r="X122" s="495">
        <f ca="1">IF($R122="","",IF(ISBLANK(INDIRECT(ADDRESS($R122,X$1,1,,"Score"))),"",1))</f>
        <v>1</v>
      </c>
      <c r="Y122" s="497">
        <f ca="1">IF(X122=1,V122,"")</f>
        <v>9</v>
      </c>
      <c r="Z122" s="495">
        <f t="shared" ca="1" si="38"/>
        <v>1</v>
      </c>
      <c r="AA122" s="495" t="str">
        <f t="shared" ca="1" si="38"/>
        <v/>
      </c>
      <c r="AB122" s="495" t="str">
        <f t="shared" ca="1" si="38"/>
        <v/>
      </c>
      <c r="AC122" s="493">
        <f t="shared" ca="1" si="39"/>
        <v>2</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128</v>
      </c>
      <c r="C124" s="298" t="str">
        <f t="shared" ca="1" si="34"/>
        <v>33 1/3</v>
      </c>
      <c r="D124" s="131">
        <f t="shared" ca="1" si="34"/>
        <v>0</v>
      </c>
      <c r="E124" s="297">
        <f ca="1">IF(B124="","",SUM(D124,D125))</f>
        <v>0</v>
      </c>
      <c r="F124" s="297">
        <f ca="1">IF(B124="","",E124-U124)</f>
        <v>-4</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f t="shared" ca="1" si="36"/>
        <v>1</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128</v>
      </c>
      <c r="S124" s="298" t="str">
        <f t="shared" ca="1" si="37"/>
        <v>620</v>
      </c>
      <c r="T124" s="131">
        <f t="shared" ca="1" si="37"/>
        <v>4</v>
      </c>
      <c r="U124" s="297">
        <f ca="1">IF(R124="","",SUM(T124,T125))</f>
        <v>4</v>
      </c>
      <c r="V124" s="297">
        <f ca="1">IF(R124="","",U124-E124)</f>
        <v>4</v>
      </c>
      <c r="W124" s="501" t="str">
        <f ca="1">IF($R124="","",IF(ISBLANK(INDIRECT(ADDRESS($R124,W$1,1,,"Score"))),"",1))</f>
        <v/>
      </c>
      <c r="X124" s="501">
        <f ca="1">IF($R124="","",IF(ISBLANK(INDIRECT(ADDRESS($R124,X$1,1,,"Score"))),"",1))</f>
        <v>1</v>
      </c>
      <c r="Y124" s="491">
        <f ca="1">IF(X124=1,V124,"")</f>
        <v>4</v>
      </c>
      <c r="Z124" s="501">
        <f t="shared" ca="1" si="38"/>
        <v>1</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130</v>
      </c>
      <c r="C126" s="494" t="str">
        <f t="shared" ca="1" si="34"/>
        <v>428</v>
      </c>
      <c r="D126" s="493">
        <f t="shared" ca="1" si="34"/>
        <v>15</v>
      </c>
      <c r="E126" s="492">
        <f ca="1">IF(B126="","",SUM(D126,D127))</f>
        <v>15</v>
      </c>
      <c r="F126" s="492">
        <f ca="1">IF(B126="","",E126-U126)</f>
        <v>11</v>
      </c>
      <c r="G126" s="495" t="str">
        <f ca="1">IF($B126="","",IF(ISBLANK(INDIRECT(ADDRESS($B126,G$1,1,,"Score"))),"",1))</f>
        <v/>
      </c>
      <c r="H126" s="495" t="str">
        <f ca="1">IF($B126="","",IF(ISBLANK(INDIRECT(ADDRESS($B126,H$1,1,,"Score"))),"",1))</f>
        <v/>
      </c>
      <c r="I126" s="497" t="str">
        <f ca="1">IF(H126=1,F126,"")</f>
        <v/>
      </c>
      <c r="J126" s="495" t="str">
        <f t="shared" ca="1" si="35"/>
        <v/>
      </c>
      <c r="K126" s="495" t="str">
        <f t="shared" ca="1" si="35"/>
        <v/>
      </c>
      <c r="L126" s="495" t="str">
        <f t="shared" ca="1" si="35"/>
        <v/>
      </c>
      <c r="M126" s="493">
        <f t="shared" ca="1" si="36"/>
        <v>3</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130</v>
      </c>
      <c r="S126" s="494" t="str">
        <f t="shared" ca="1" si="37"/>
        <v>620</v>
      </c>
      <c r="T126" s="493">
        <f t="shared" ca="1" si="37"/>
        <v>4</v>
      </c>
      <c r="U126" s="492">
        <f ca="1">IF(R126="","",SUM(T126,T127))</f>
        <v>4</v>
      </c>
      <c r="V126" s="492">
        <f ca="1">IF(R126="","",U126-E126)</f>
        <v>-11</v>
      </c>
      <c r="W126" s="495" t="str">
        <f ca="1">IF($R126="","",IF(ISBLANK(INDIRECT(ADDRESS($R126,W$1,1,,"Score"))),"",1))</f>
        <v/>
      </c>
      <c r="X126" s="495">
        <f ca="1">IF($R126="","",IF(ISBLANK(INDIRECT(ADDRESS($R126,X$1,1,,"Score"))),"",1))</f>
        <v>1</v>
      </c>
      <c r="Y126" s="497">
        <f ca="1">IF(X126=1,V126,"")</f>
        <v>-11</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t="str">
        <f ca="1">IF(ISNA(MATCH($A128,Score!A$90:A$165,0)),"",MATCH($A128,Score!A$90:A$165,0)+ROW(Score!A$89))</f>
        <v/>
      </c>
      <c r="C128" s="298" t="str">
        <f t="shared" ref="C128:D143" ca="1" si="40">IF($B128="","",INDIRECT(ADDRESS($B128,C$1,1,,"Score")))</f>
        <v/>
      </c>
      <c r="D128" s="131" t="str">
        <f t="shared" ca="1" si="40"/>
        <v/>
      </c>
      <c r="E128" s="297" t="str">
        <f>IF(B128="","",SUM(D128,D129))</f>
        <v/>
      </c>
      <c r="F128" s="297" t="str">
        <f>IF(B128="","",E128-U128)</f>
        <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t="str">
        <f t="shared" ref="M128:M143" ca="1" si="42">IF($B128="","",INDIRECT(ADDRESS($B128,M$1,1,,"Score")))</f>
        <v/>
      </c>
      <c r="N128" s="299" t="str">
        <f ca="1">IF(ISNA(MATCH($A128,'Bout Clock'!A$62:A$91,0)),"",INDIRECT(ADDRESS(MATCH($A128,'Bout Clock'!A$62:A$91,0)+ROW('Bout Clock'!A$61),N$1,1,,"Bout Clock")))</f>
        <v/>
      </c>
      <c r="O128" s="299" t="str">
        <f ca="1">IF(OR(N128="",N128=0),"",60*E128/N128)</f>
        <v/>
      </c>
      <c r="Q128" s="297">
        <f>Q126+1</f>
        <v>21</v>
      </c>
      <c r="R128" s="131" t="str">
        <f ca="1">IF(ISNA(MATCH($Q128,Score!T$90:T$165,0)),"",MATCH($Q128,Score!T$90:T$165,0)+ROW(Score!T$89) )</f>
        <v/>
      </c>
      <c r="S128" s="298" t="str">
        <f t="shared" ref="S128:T143" ca="1" si="43">IF($R128="","",INDIRECT(ADDRESS($R128,S$1,1,,"Score")))</f>
        <v/>
      </c>
      <c r="T128" s="131" t="str">
        <f t="shared" ca="1" si="43"/>
        <v/>
      </c>
      <c r="U128" s="297" t="str">
        <f>IF(R128="","",SUM(T128,T129))</f>
        <v/>
      </c>
      <c r="V128" s="297" t="str">
        <f>IF(R128="","",U128-E128)</f>
        <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t="str">
        <f t="shared" ref="AC128:AC143" ca="1" si="45">IF($R128="","",INDIRECT(ADDRESS($R128,AC$1,1,,"Score")))</f>
        <v/>
      </c>
      <c r="AD128" s="299" t="str">
        <f ca="1">N128</f>
        <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t="str">
        <f ca="1">IF(ISNA(MATCH($A130,Score!A$90:A$165,0)),"",MATCH($A130,Score!A$90:A$165,0)+ROW(Score!A$89))</f>
        <v/>
      </c>
      <c r="C130" s="494" t="str">
        <f t="shared" ca="1" si="40"/>
        <v/>
      </c>
      <c r="D130" s="493" t="str">
        <f t="shared" ca="1" si="40"/>
        <v/>
      </c>
      <c r="E130" s="492" t="str">
        <f>IF(B130="","",SUM(D130,D131))</f>
        <v/>
      </c>
      <c r="F130" s="492" t="str">
        <f>IF(B130="","",E130-U130)</f>
        <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t="str">
        <f t="shared" ca="1" si="42"/>
        <v/>
      </c>
      <c r="N130" s="492" t="str">
        <f ca="1">IF(ISNA(MATCH($A130,'Bout Clock'!A$62:A$91,0)),"",INDIRECT(ADDRESS(MATCH($A130,'Bout Clock'!A$62:A$91,0)+ROW('Bout Clock'!A$61),N$1,1,,"Bout Clock")))</f>
        <v/>
      </c>
      <c r="O130" s="492" t="str">
        <f ca="1">IF(OR(N130="",N130=0),"",60*E130/N130)</f>
        <v/>
      </c>
      <c r="Q130" s="492">
        <f>Q128+1</f>
        <v>22</v>
      </c>
      <c r="R130" s="493" t="str">
        <f ca="1">IF(ISNA(MATCH($Q130,Score!T$90:T$165,0)),"",MATCH($Q130,Score!T$90:T$165,0)+ROW(Score!T$89) )</f>
        <v/>
      </c>
      <c r="S130" s="494" t="str">
        <f t="shared" ca="1" si="43"/>
        <v/>
      </c>
      <c r="T130" s="493" t="str">
        <f t="shared" ca="1" si="43"/>
        <v/>
      </c>
      <c r="U130" s="492" t="str">
        <f>IF(R130="","",SUM(T130,T131))</f>
        <v/>
      </c>
      <c r="V130" s="492" t="str">
        <f>IF(R130="","",U130-E130)</f>
        <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t="str">
        <f t="shared" ca="1" si="45"/>
        <v/>
      </c>
      <c r="AD130" s="492" t="str">
        <f ca="1">N130</f>
        <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t="str">
        <f ca="1">IF(ISNA(MATCH($A132,Score!A$90:A$165,0)),"",MATCH($A132,Score!A$90:A$165,0)+ROW(Score!A$89))</f>
        <v/>
      </c>
      <c r="C132" s="298" t="str">
        <f t="shared" ca="1" si="40"/>
        <v/>
      </c>
      <c r="D132" s="131" t="str">
        <f t="shared" ca="1" si="40"/>
        <v/>
      </c>
      <c r="E132" s="297" t="str">
        <f>IF(B132="","",SUM(D132,D133))</f>
        <v/>
      </c>
      <c r="F132" s="297" t="str">
        <f>IF(B132="","",E132-U132)</f>
        <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t="str">
        <f t="shared" ca="1" si="42"/>
        <v/>
      </c>
      <c r="N132" s="299" t="str">
        <f ca="1">IF(ISNA(MATCH($A132,'Bout Clock'!A$62:A$91,0)),"",INDIRECT(ADDRESS(MATCH($A132,'Bout Clock'!A$62:A$91,0)+ROW('Bout Clock'!A$61),N$1,1,,"Bout Clock")))</f>
        <v/>
      </c>
      <c r="O132" s="299" t="str">
        <f ca="1">IF(OR(N132="",N132=0),"",60*E132/N132)</f>
        <v/>
      </c>
      <c r="Q132" s="297">
        <f>Q130+1</f>
        <v>23</v>
      </c>
      <c r="R132" s="131" t="str">
        <f ca="1">IF(ISNA(MATCH($Q132,Score!T$90:T$165,0)),"",MATCH($Q132,Score!T$90:T$165,0)+ROW(Score!T$89) )</f>
        <v/>
      </c>
      <c r="S132" s="298" t="str">
        <f t="shared" ca="1" si="43"/>
        <v/>
      </c>
      <c r="T132" s="131" t="str">
        <f t="shared" ca="1" si="43"/>
        <v/>
      </c>
      <c r="U132" s="297" t="str">
        <f>IF(R132="","",SUM(T132,T133))</f>
        <v/>
      </c>
      <c r="V132" s="297" t="str">
        <f>IF(R132="","",U132-E132)</f>
        <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t="str">
        <f t="shared" ca="1" si="45"/>
        <v/>
      </c>
      <c r="AD132" s="299" t="str">
        <f ca="1">N132</f>
        <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330" t="s">
        <v>199</v>
      </c>
      <c r="B164" s="502"/>
      <c r="C164" s="502"/>
      <c r="D164" s="502"/>
      <c r="E164" s="503">
        <f ca="1">SUM(E88:E163)</f>
        <v>67</v>
      </c>
      <c r="F164" s="504"/>
      <c r="G164" s="500">
        <f ca="1">SUM(G88:G163)</f>
        <v>2</v>
      </c>
      <c r="H164" s="500">
        <f ca="1">SUM(H88:H163)</f>
        <v>8</v>
      </c>
      <c r="I164" s="490"/>
      <c r="J164" s="1331">
        <f ca="1">SUM(J88:J163)</f>
        <v>5</v>
      </c>
      <c r="K164" s="1331">
        <f ca="1">SUM(K88:K163)</f>
        <v>0</v>
      </c>
      <c r="L164" s="500" t="e">
        <f>#VALUE!</f>
        <v>#VALUE!</v>
      </c>
      <c r="M164" s="502"/>
      <c r="N164" s="504" t="s">
        <v>197</v>
      </c>
      <c r="O164" s="503" t="str">
        <f ca="1">IF(COUNT(O88:O163),AVERAGE(O88:O163),"")</f>
        <v/>
      </c>
      <c r="Q164" s="1330" t="s">
        <v>199</v>
      </c>
      <c r="R164" s="502"/>
      <c r="S164" s="502"/>
      <c r="T164" s="502"/>
      <c r="U164" s="503">
        <f ca="1">SUM(U88:U163)</f>
        <v>77</v>
      </c>
      <c r="V164" s="504"/>
      <c r="W164" s="500">
        <f ca="1">SUM(W88:W163)</f>
        <v>2</v>
      </c>
      <c r="X164" s="500">
        <f ca="1">SUM(X88:X163)</f>
        <v>12</v>
      </c>
      <c r="Y164" s="490"/>
      <c r="Z164" s="1331">
        <f ca="1">SUM(Z88:Z163)</f>
        <v>9</v>
      </c>
      <c r="AA164" s="1331">
        <f ca="1">SUM(AA88:AA163)</f>
        <v>0</v>
      </c>
      <c r="AB164" s="500" t="e">
        <f>#VALUE!</f>
        <v>#VALUE!</v>
      </c>
      <c r="AC164" s="502"/>
      <c r="AD164" s="504" t="s">
        <v>197</v>
      </c>
      <c r="AE164" s="503" t="str">
        <f ca="1">IF(COUNT(AE88:AE163),AVERAGE(AE88:AE163),"")</f>
        <v/>
      </c>
    </row>
    <row r="165" spans="1:31">
      <c r="A165" s="1330"/>
      <c r="B165" s="502"/>
      <c r="C165" s="502"/>
      <c r="D165" s="502"/>
      <c r="E165" s="503"/>
      <c r="F165" s="504"/>
      <c r="G165" s="500"/>
      <c r="H165" s="505"/>
      <c r="I165" s="490"/>
      <c r="J165" s="1331"/>
      <c r="K165" s="1331"/>
      <c r="L165" s="500" t="e">
        <f>#VALUE!</f>
        <v>#VALUE!</v>
      </c>
      <c r="M165" s="502"/>
      <c r="N165" s="504"/>
      <c r="O165" s="503"/>
      <c r="Q165" s="1330"/>
      <c r="R165" s="502"/>
      <c r="S165" s="502"/>
      <c r="T165" s="502"/>
      <c r="U165" s="503"/>
      <c r="V165" s="504"/>
      <c r="W165" s="500"/>
      <c r="X165" s="505"/>
      <c r="Y165" s="490"/>
      <c r="Z165" s="1331"/>
      <c r="AA165" s="1331"/>
      <c r="AB165" s="500" t="e">
        <f>#VALUE!</f>
        <v>#VALUE!</v>
      </c>
      <c r="AC165" s="502"/>
      <c r="AD165" s="504"/>
      <c r="AE165" s="503"/>
    </row>
    <row r="171" spans="1:31">
      <c r="A171" s="300" t="s">
        <v>22</v>
      </c>
      <c r="B171" s="300" t="s">
        <v>190</v>
      </c>
      <c r="D171" s="300" t="s">
        <v>274</v>
      </c>
      <c r="E171" s="300" t="s">
        <v>200</v>
      </c>
      <c r="F171" s="300" t="s">
        <v>27</v>
      </c>
      <c r="G171" s="300" t="s">
        <v>28</v>
      </c>
      <c r="H171" s="300" t="s">
        <v>29</v>
      </c>
      <c r="I171" s="300" t="s">
        <v>30</v>
      </c>
      <c r="J171" s="300" t="s">
        <v>31</v>
      </c>
      <c r="K171" s="300" t="s">
        <v>32</v>
      </c>
      <c r="L171" s="300" t="s">
        <v>399</v>
      </c>
      <c r="M171" s="300" t="s">
        <v>522</v>
      </c>
      <c r="N171" s="300"/>
      <c r="O171" s="300"/>
      <c r="Q171" s="300" t="s">
        <v>24</v>
      </c>
      <c r="R171" s="300" t="s">
        <v>190</v>
      </c>
      <c r="T171" s="300" t="s">
        <v>274</v>
      </c>
      <c r="U171" s="300" t="s">
        <v>200</v>
      </c>
      <c r="V171" s="300" t="s">
        <v>27</v>
      </c>
      <c r="W171" s="300" t="s">
        <v>28</v>
      </c>
      <c r="X171" s="300" t="s">
        <v>29</v>
      </c>
      <c r="Y171" s="300" t="s">
        <v>30</v>
      </c>
      <c r="Z171" s="300" t="s">
        <v>31</v>
      </c>
      <c r="AA171" s="300" t="s">
        <v>32</v>
      </c>
      <c r="AB171" s="300" t="s">
        <v>399</v>
      </c>
      <c r="AC171" s="300" t="s">
        <v>522</v>
      </c>
    </row>
    <row r="172" spans="1:31">
      <c r="A172" s="297">
        <v>1</v>
      </c>
      <c r="B172" s="301" t="str">
        <f ca="1">IF(IBRF!B11="","",IBRF!B11)</f>
        <v>138</v>
      </c>
      <c r="C172" s="131" t="s">
        <v>21</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182</v>
      </c>
      <c r="S172" s="131" t="s">
        <v>21</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198</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198</v>
      </c>
      <c r="T173" s="131" t="str">
        <f ca="1">IF(OR($U173="",$U173=0),"",SUMPRODUCT(--($S$88:$S$163=$R172),T$88:T$163))</f>
        <v/>
      </c>
      <c r="U173" s="131">
        <f ca="1">IF($R172="","",SUMPRODUCT(--(S$88:S$163=$R172)))</f>
        <v>0</v>
      </c>
      <c r="V173" s="131" t="str">
        <f t="shared" ref="V173:AC173" ca="1" si="59">IF(OR($U173="",$U173=0),"",SUMPRODUCT(--($S$88:$S$163=$R172),V$88:V$163))</f>
        <v/>
      </c>
      <c r="W173" s="507" t="str">
        <f t="shared" ca="1" si="59"/>
        <v/>
      </c>
      <c r="X173" s="507" t="str">
        <f t="shared" ca="1" si="59"/>
        <v/>
      </c>
      <c r="Y173" s="491" t="str">
        <f t="shared" ca="1" si="59"/>
        <v/>
      </c>
      <c r="Z173" s="507" t="str">
        <f t="shared" ca="1" si="59"/>
        <v/>
      </c>
      <c r="AA173" s="507" t="str">
        <f t="shared" ca="1" si="59"/>
        <v/>
      </c>
      <c r="AB173" s="507" t="str">
        <f t="shared" ca="1" si="59"/>
        <v/>
      </c>
      <c r="AC173" s="131" t="str">
        <f t="shared" ca="1" si="59"/>
        <v/>
      </c>
    </row>
    <row r="174" spans="1:31">
      <c r="A174" s="297"/>
      <c r="B174" s="301"/>
      <c r="C174" s="506" t="s">
        <v>23</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23</v>
      </c>
      <c r="T174" s="506">
        <f ca="1">IF($R172="","",SUM(T172:T173))</f>
        <v>0</v>
      </c>
      <c r="U174" s="506">
        <f t="shared" ref="U174:AC174" ca="1" si="61">IF($R172="","",SUM(U172,U173))</f>
        <v>0</v>
      </c>
      <c r="V174" s="506">
        <f t="shared" ca="1" si="61"/>
        <v>0</v>
      </c>
      <c r="W174" s="495">
        <f t="shared" ca="1" si="61"/>
        <v>0</v>
      </c>
      <c r="X174" s="495">
        <f t="shared" ca="1" si="61"/>
        <v>0</v>
      </c>
      <c r="Y174" s="498">
        <f t="shared" ca="1" si="61"/>
        <v>0</v>
      </c>
      <c r="Z174" s="495">
        <f t="shared" ca="1" si="61"/>
        <v>0</v>
      </c>
      <c r="AA174" s="495">
        <f t="shared" ca="1" si="61"/>
        <v>0</v>
      </c>
      <c r="AB174" s="495">
        <f t="shared" ca="1" si="61"/>
        <v>0</v>
      </c>
      <c r="AC174" s="506">
        <f t="shared" ca="1" si="61"/>
        <v>0</v>
      </c>
    </row>
    <row r="175" spans="1:31">
      <c r="A175" s="297">
        <f>A172+1</f>
        <v>2</v>
      </c>
      <c r="B175" s="301" t="str">
        <f ca="1">IF(IBRF!B12="","",IBRF!B12)</f>
        <v>181</v>
      </c>
      <c r="C175" s="131" t="s">
        <v>21</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2¢</v>
      </c>
      <c r="S175" s="131" t="s">
        <v>21</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198</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198</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23</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23</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1821</v>
      </c>
      <c r="C178" s="131" t="s">
        <v>21</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24/7</v>
      </c>
      <c r="S178" s="131" t="s">
        <v>21</v>
      </c>
      <c r="T178" s="131">
        <f ca="1">IF(OR($U178="",$U178=0),"",SUMPRODUCT(--($S$3:$S$78=$R178),T$3:T$78))</f>
        <v>1</v>
      </c>
      <c r="U178" s="131">
        <f ca="1">IF($R178="","",SUMPRODUCT(--(S$3:S$78=$R178)))</f>
        <v>1</v>
      </c>
      <c r="V178" s="131">
        <f t="shared" ref="V178:AC178" ca="1" si="69">IF(OR($U178="",$U178=0),"",SUMPRODUCT(--($S$3:$S$78=$R178),V$3:V$78))</f>
        <v>-9</v>
      </c>
      <c r="W178" s="507">
        <f t="shared" ca="1" si="69"/>
        <v>1</v>
      </c>
      <c r="X178" s="507">
        <f t="shared" ca="1" si="69"/>
        <v>0</v>
      </c>
      <c r="Y178" s="491">
        <f t="shared" ca="1" si="69"/>
        <v>0</v>
      </c>
      <c r="Z178" s="507">
        <f t="shared" ca="1" si="69"/>
        <v>0</v>
      </c>
      <c r="AA178" s="507">
        <f t="shared" ca="1" si="69"/>
        <v>0</v>
      </c>
      <c r="AB178" s="507">
        <f t="shared" ca="1" si="69"/>
        <v>0</v>
      </c>
      <c r="AC178" s="131">
        <f t="shared" ca="1" si="69"/>
        <v>1</v>
      </c>
    </row>
    <row r="179" spans="1:29">
      <c r="A179" s="297"/>
      <c r="B179" s="301"/>
      <c r="C179" s="131" t="s">
        <v>198</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198</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23</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23</v>
      </c>
      <c r="T180" s="506">
        <f ca="1">IF($R178="","",SUM(T178:T179))</f>
        <v>1</v>
      </c>
      <c r="U180" s="506">
        <f t="shared" ref="U180:AC180" ca="1" si="73">IF($R178="","",SUM(U178,U179))</f>
        <v>1</v>
      </c>
      <c r="V180" s="506">
        <f t="shared" ca="1" si="73"/>
        <v>-9</v>
      </c>
      <c r="W180" s="495">
        <f t="shared" ca="1" si="73"/>
        <v>1</v>
      </c>
      <c r="X180" s="495">
        <f t="shared" ca="1" si="73"/>
        <v>0</v>
      </c>
      <c r="Y180" s="498">
        <f t="shared" ca="1" si="73"/>
        <v>0</v>
      </c>
      <c r="Z180" s="495">
        <f t="shared" ca="1" si="73"/>
        <v>0</v>
      </c>
      <c r="AA180" s="495">
        <f t="shared" ca="1" si="73"/>
        <v>0</v>
      </c>
      <c r="AB180" s="495">
        <f t="shared" ca="1" si="73"/>
        <v>0</v>
      </c>
      <c r="AC180" s="506">
        <f t="shared" ca="1" si="73"/>
        <v>1</v>
      </c>
    </row>
    <row r="181" spans="1:29">
      <c r="A181" s="297">
        <f>A178+1</f>
        <v>4</v>
      </c>
      <c r="B181" s="301" t="str">
        <f ca="1">IF(IBRF!B14="","",IBRF!B14)</f>
        <v>187</v>
      </c>
      <c r="C181" s="131" t="s">
        <v>21</v>
      </c>
      <c r="D181" s="131" t="str">
        <f ca="1">IF(OR($E181="",$E181=0),"",SUMPRODUCT(--($C$3:$C$78=$B181),D$3:D$78))</f>
        <v/>
      </c>
      <c r="E181" s="131">
        <f ca="1">IF($B181="","",SUMPRODUCT(--(C$3:C$78=$B181)))</f>
        <v>0</v>
      </c>
      <c r="F181" s="131" t="str">
        <f ca="1">IF(OR($E181="",$E181=0),"",SUMIF($C$3:$C$62,$B181,F$3:F$62))</f>
        <v/>
      </c>
      <c r="G181" s="507" t="str">
        <f t="shared" ref="G181:M181" ca="1" si="74">IF(OR($E181="",$E181=0),"",SUMPRODUCT(--($C$3:$C$78=$B181),G$3:G$78))</f>
        <v/>
      </c>
      <c r="H181" s="507" t="str">
        <f t="shared" ca="1" si="74"/>
        <v/>
      </c>
      <c r="I181" s="491" t="str">
        <f t="shared" ca="1" si="74"/>
        <v/>
      </c>
      <c r="J181" s="507" t="str">
        <f t="shared" ca="1" si="74"/>
        <v/>
      </c>
      <c r="K181" s="507" t="str">
        <f t="shared" ca="1" si="74"/>
        <v/>
      </c>
      <c r="L181" s="507" t="str">
        <f t="shared" ca="1" si="74"/>
        <v/>
      </c>
      <c r="M181" s="131" t="str">
        <f t="shared" ca="1" si="74"/>
        <v/>
      </c>
      <c r="Q181" s="297">
        <f>Q178+1</f>
        <v>4</v>
      </c>
      <c r="R181" s="297" t="str">
        <f ca="1">IF(IBRF!H14="","",IBRF!H14)</f>
        <v>27</v>
      </c>
      <c r="S181" s="131" t="s">
        <v>21</v>
      </c>
      <c r="T181" s="131" t="str">
        <f ca="1">IF(OR($U181="",$U181=0),"",SUMPRODUCT(--($S$3:$S$78=$R181),T$3:T$78))</f>
        <v/>
      </c>
      <c r="U181" s="131">
        <f ca="1">IF($R181="","",SUMPRODUCT(--(S$3:S$78=$R181)))</f>
        <v>0</v>
      </c>
      <c r="V181" s="131" t="str">
        <f t="shared" ref="V181:AC181" ca="1" si="75">IF(OR($U181="",$U181=0),"",SUMPRODUCT(--($S$3:$S$78=$R181),V$3:V$78))</f>
        <v/>
      </c>
      <c r="W181" s="507" t="str">
        <f t="shared" ca="1" si="75"/>
        <v/>
      </c>
      <c r="X181" s="507" t="str">
        <f t="shared" ca="1" si="75"/>
        <v/>
      </c>
      <c r="Y181" s="491" t="str">
        <f t="shared" ca="1" si="75"/>
        <v/>
      </c>
      <c r="Z181" s="507" t="str">
        <f t="shared" ca="1" si="75"/>
        <v/>
      </c>
      <c r="AA181" s="507" t="str">
        <f t="shared" ca="1" si="75"/>
        <v/>
      </c>
      <c r="AB181" s="507" t="str">
        <f t="shared" ca="1" si="75"/>
        <v/>
      </c>
      <c r="AC181" s="131" t="str">
        <f t="shared" ca="1" si="75"/>
        <v/>
      </c>
    </row>
    <row r="182" spans="1:29">
      <c r="A182" s="297"/>
      <c r="B182" s="301"/>
      <c r="C182" s="131" t="s">
        <v>198</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198</v>
      </c>
      <c r="T182" s="131" t="str">
        <f ca="1">IF(OR($U182="",$U182=0),"",SUMPRODUCT(--($S$88:$S$163=$R181),T$88:T$163))</f>
        <v/>
      </c>
      <c r="U182" s="131">
        <f ca="1">IF($R181="","",SUMPRODUCT(--(S$88:S$163=$R181)))</f>
        <v>0</v>
      </c>
      <c r="V182" s="131" t="str">
        <f t="shared" ref="V182:AC182" ca="1" si="77">IF(OR($U182="",$U182=0),"",SUMPRODUCT(--($S$88:$S$163=$R181),V$88:V$163))</f>
        <v/>
      </c>
      <c r="W182" s="507" t="str">
        <f t="shared" ca="1" si="77"/>
        <v/>
      </c>
      <c r="X182" s="507" t="str">
        <f t="shared" ca="1" si="77"/>
        <v/>
      </c>
      <c r="Y182" s="491" t="str">
        <f t="shared" ca="1" si="77"/>
        <v/>
      </c>
      <c r="Z182" s="507" t="str">
        <f t="shared" ca="1" si="77"/>
        <v/>
      </c>
      <c r="AA182" s="507" t="str">
        <f t="shared" ca="1" si="77"/>
        <v/>
      </c>
      <c r="AB182" s="507" t="str">
        <f t="shared" ca="1" si="77"/>
        <v/>
      </c>
      <c r="AC182" s="131" t="str">
        <f t="shared" ca="1" si="77"/>
        <v/>
      </c>
    </row>
    <row r="183" spans="1:29">
      <c r="A183" s="297"/>
      <c r="B183" s="301"/>
      <c r="C183" s="506" t="s">
        <v>23</v>
      </c>
      <c r="D183" s="506">
        <f ca="1">IF($B181="","",SUM(D181:D182))</f>
        <v>0</v>
      </c>
      <c r="E183" s="506">
        <f ca="1">IF($B181="","",SUM(E181:E182))</f>
        <v>0</v>
      </c>
      <c r="F183" s="506">
        <f ca="1">IF($B181="","",SUM(F181:F182))</f>
        <v>0</v>
      </c>
      <c r="G183" s="495">
        <f t="shared" ref="G183:L183" ca="1" si="78">IF($B181="","",SUM(G181,G182))</f>
        <v>0</v>
      </c>
      <c r="H183" s="495">
        <f t="shared" ca="1" si="78"/>
        <v>0</v>
      </c>
      <c r="I183" s="498">
        <f t="shared" ca="1" si="78"/>
        <v>0</v>
      </c>
      <c r="J183" s="495">
        <f t="shared" ca="1" si="78"/>
        <v>0</v>
      </c>
      <c r="K183" s="495">
        <f t="shared" ca="1" si="78"/>
        <v>0</v>
      </c>
      <c r="L183" s="495">
        <f t="shared" ca="1" si="78"/>
        <v>0</v>
      </c>
      <c r="M183" s="506">
        <f ca="1">IF($B181="","",SUM(M181:M182))</f>
        <v>0</v>
      </c>
      <c r="Q183" s="297"/>
      <c r="R183" s="297"/>
      <c r="S183" s="506" t="s">
        <v>23</v>
      </c>
      <c r="T183" s="506">
        <f ca="1">IF($R181="","",SUM(T181:T182))</f>
        <v>0</v>
      </c>
      <c r="U183" s="506">
        <f t="shared" ref="U183:AC183" ca="1" si="79">IF($R181="","",SUM(U181,U182))</f>
        <v>0</v>
      </c>
      <c r="V183" s="506">
        <f t="shared" ca="1" si="79"/>
        <v>0</v>
      </c>
      <c r="W183" s="495">
        <f t="shared" ca="1" si="79"/>
        <v>0</v>
      </c>
      <c r="X183" s="495">
        <f t="shared" ca="1" si="79"/>
        <v>0</v>
      </c>
      <c r="Y183" s="498">
        <f t="shared" ca="1" si="79"/>
        <v>0</v>
      </c>
      <c r="Z183" s="495">
        <f t="shared" ca="1" si="79"/>
        <v>0</v>
      </c>
      <c r="AA183" s="495">
        <f t="shared" ca="1" si="79"/>
        <v>0</v>
      </c>
      <c r="AB183" s="495">
        <f t="shared" ca="1" si="79"/>
        <v>0</v>
      </c>
      <c r="AC183" s="506">
        <f t="shared" ca="1" si="79"/>
        <v>0</v>
      </c>
    </row>
    <row r="184" spans="1:29">
      <c r="A184" s="297">
        <f>A181+1</f>
        <v>5</v>
      </c>
      <c r="B184" s="301" t="str">
        <f ca="1">IF(IBRF!B15="","",IBRF!B15)</f>
        <v>1879</v>
      </c>
      <c r="C184" s="131" t="s">
        <v>21</v>
      </c>
      <c r="D184" s="131" t="str">
        <f ca="1">IF(OR($E184="",$E184=0),"",SUMPRODUCT(--($C$3:$C$78=$B184),D$3:D$78))</f>
        <v/>
      </c>
      <c r="E184" s="131">
        <f ca="1">IF($B184="","",SUMPRODUCT(--(C$3:C$78=$B184)))</f>
        <v>0</v>
      </c>
      <c r="F184" s="131" t="str">
        <f ca="1">IF(OR($E184="",$E184=0),"",SUMIF($C$3:$C$62,$B184,F$3:F$62))</f>
        <v/>
      </c>
      <c r="G184" s="507" t="str">
        <f t="shared" ref="G184:M184" ca="1" si="80">IF(OR($E184="",$E184=0),"",SUMPRODUCT(--($C$3:$C$78=$B184),G$3:G$78))</f>
        <v/>
      </c>
      <c r="H184" s="507" t="str">
        <f t="shared" ca="1" si="80"/>
        <v/>
      </c>
      <c r="I184" s="491" t="str">
        <f t="shared" ca="1" si="80"/>
        <v/>
      </c>
      <c r="J184" s="507" t="str">
        <f t="shared" ca="1" si="80"/>
        <v/>
      </c>
      <c r="K184" s="507" t="str">
        <f t="shared" ca="1" si="80"/>
        <v/>
      </c>
      <c r="L184" s="507" t="str">
        <f t="shared" ca="1" si="80"/>
        <v/>
      </c>
      <c r="M184" s="131" t="str">
        <f t="shared" ca="1" si="80"/>
        <v/>
      </c>
      <c r="Q184" s="297">
        <f>Q181+1</f>
        <v>5</v>
      </c>
      <c r="R184" s="297" t="str">
        <f ca="1">IF(IBRF!H15="","",IBRF!H15)</f>
        <v>38DD</v>
      </c>
      <c r="S184" s="131" t="s">
        <v>21</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198</v>
      </c>
      <c r="D185" s="131" t="str">
        <f ca="1">IF(OR($E185="",$E185=0),"",SUMPRODUCT(--($C$88:$C$163=$B184),D$88:D$163))</f>
        <v/>
      </c>
      <c r="E185" s="131">
        <f ca="1">IF($B184="","",SUMPRODUCT(--(C$88:C$163=$B184)))</f>
        <v>0</v>
      </c>
      <c r="F185" s="131" t="str">
        <f ca="1">IF(OR($E185="",$E185=0),"",SUMIF($C$88:$C$147,$B184,F$88:F$147))</f>
        <v/>
      </c>
      <c r="G185" s="507" t="str">
        <f t="shared" ref="G185:M185" ca="1" si="82">IF(OR($E185="",$E185=0),"",SUMPRODUCT(--($C$88:$C$163=$B184),G$88:G$163))</f>
        <v/>
      </c>
      <c r="H185" s="507" t="str">
        <f t="shared" ca="1" si="82"/>
        <v/>
      </c>
      <c r="I185" s="491" t="str">
        <f t="shared" ca="1" si="82"/>
        <v/>
      </c>
      <c r="J185" s="507" t="str">
        <f t="shared" ca="1" si="82"/>
        <v/>
      </c>
      <c r="K185" s="507" t="str">
        <f t="shared" ca="1" si="82"/>
        <v/>
      </c>
      <c r="L185" s="507" t="str">
        <f t="shared" ca="1" si="82"/>
        <v/>
      </c>
      <c r="M185" s="131" t="str">
        <f t="shared" ca="1" si="82"/>
        <v/>
      </c>
      <c r="Q185" s="297"/>
      <c r="R185" s="297"/>
      <c r="S185" s="131" t="s">
        <v>198</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23</v>
      </c>
      <c r="D186" s="506">
        <f ca="1">IF($B184="","",SUM(D184:D185))</f>
        <v>0</v>
      </c>
      <c r="E186" s="506">
        <f ca="1">IF($B184="","",SUM(E184:E185))</f>
        <v>0</v>
      </c>
      <c r="F186" s="506">
        <f ca="1">IF($B184="","",SUM(F184:F185))</f>
        <v>0</v>
      </c>
      <c r="G186" s="495">
        <f t="shared" ref="G186:L186" ca="1" si="84">IF($B184="","",SUM(G184,G185))</f>
        <v>0</v>
      </c>
      <c r="H186" s="495">
        <f t="shared" ca="1" si="84"/>
        <v>0</v>
      </c>
      <c r="I186" s="498">
        <f t="shared" ca="1" si="84"/>
        <v>0</v>
      </c>
      <c r="J186" s="495">
        <f t="shared" ca="1" si="84"/>
        <v>0</v>
      </c>
      <c r="K186" s="495">
        <f t="shared" ca="1" si="84"/>
        <v>0</v>
      </c>
      <c r="L186" s="495">
        <f t="shared" ca="1" si="84"/>
        <v>0</v>
      </c>
      <c r="M186" s="506">
        <f ca="1">IF($B184="","",SUM(M184:M185))</f>
        <v>0</v>
      </c>
      <c r="Q186" s="297"/>
      <c r="R186" s="297"/>
      <c r="S186" s="506" t="s">
        <v>23</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20</v>
      </c>
      <c r="C187" s="131" t="s">
        <v>21</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42</v>
      </c>
      <c r="S187" s="131" t="s">
        <v>21</v>
      </c>
      <c r="T187" s="131">
        <f ca="1">IF(OR($U187="",$U187=0),"",SUMPRODUCT(--($S$3:$S$78=$R187),T$3:T$78))</f>
        <v>4</v>
      </c>
      <c r="U187" s="131">
        <f ca="1">IF($R187="","",SUMPRODUCT(--(S$3:S$78=$R187)))</f>
        <v>1</v>
      </c>
      <c r="V187" s="131">
        <f t="shared" ref="V187:AC187" ca="1" si="87">IF(OR($U187="",$U187=0),"",SUMPRODUCT(--($S$3:$S$78=$R187),V$3:V$78))</f>
        <v>-6</v>
      </c>
      <c r="W187" s="507">
        <f t="shared" ca="1" si="87"/>
        <v>1</v>
      </c>
      <c r="X187" s="507">
        <f t="shared" ca="1" si="87"/>
        <v>0</v>
      </c>
      <c r="Y187" s="491">
        <f t="shared" ca="1" si="87"/>
        <v>0</v>
      </c>
      <c r="Z187" s="507">
        <f t="shared" ca="1" si="87"/>
        <v>0</v>
      </c>
      <c r="AA187" s="507">
        <f t="shared" ca="1" si="87"/>
        <v>0</v>
      </c>
      <c r="AB187" s="507">
        <f t="shared" ca="1" si="87"/>
        <v>0</v>
      </c>
      <c r="AC187" s="131">
        <f t="shared" ca="1" si="87"/>
        <v>1</v>
      </c>
    </row>
    <row r="188" spans="1:29">
      <c r="A188" s="297"/>
      <c r="B188" s="301"/>
      <c r="C188" s="131" t="s">
        <v>198</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198</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23</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23</v>
      </c>
      <c r="T189" s="506">
        <f ca="1">IF($R187="","",SUM(T187:T188))</f>
        <v>4</v>
      </c>
      <c r="U189" s="506">
        <f t="shared" ref="U189:AC189" ca="1" si="91">IF($R187="","",SUM(U187,U188))</f>
        <v>1</v>
      </c>
      <c r="V189" s="506">
        <f t="shared" ca="1" si="91"/>
        <v>-6</v>
      </c>
      <c r="W189" s="495">
        <f t="shared" ca="1" si="91"/>
        <v>1</v>
      </c>
      <c r="X189" s="495">
        <f t="shared" ca="1" si="91"/>
        <v>0</v>
      </c>
      <c r="Y189" s="498">
        <f t="shared" ca="1" si="91"/>
        <v>0</v>
      </c>
      <c r="Z189" s="495">
        <f t="shared" ca="1" si="91"/>
        <v>0</v>
      </c>
      <c r="AA189" s="495">
        <f t="shared" ca="1" si="91"/>
        <v>0</v>
      </c>
      <c r="AB189" s="495">
        <f t="shared" ca="1" si="91"/>
        <v>0</v>
      </c>
      <c r="AC189" s="506">
        <f t="shared" ca="1" si="91"/>
        <v>1</v>
      </c>
    </row>
    <row r="190" spans="1:29">
      <c r="A190" s="297">
        <f>A187+1</f>
        <v>7</v>
      </c>
      <c r="B190" s="301" t="str">
        <f ca="1">IF(IBRF!B17="","",IBRF!B17)</f>
        <v>20KN</v>
      </c>
      <c r="C190" s="131" t="s">
        <v>21</v>
      </c>
      <c r="D190" s="131">
        <f ca="1">IF(OR($E190="",$E190=0),"",SUMPRODUCT(--($C$3:$C$78=$B190),D$3:D$78))</f>
        <v>20</v>
      </c>
      <c r="E190" s="131">
        <f ca="1">IF($B190="","",SUMPRODUCT(--(C$3:C$78=$B190)))</f>
        <v>6</v>
      </c>
      <c r="F190" s="131">
        <f ca="1">IF(OR($E190="",$E190=0),"",SUMIF($C$3:$C$62,$B190,F$3:F$62))</f>
        <v>15</v>
      </c>
      <c r="G190" s="507">
        <f t="shared" ref="G190:M190" ca="1" si="92">IF(OR($E190="",$E190=0),"",SUMPRODUCT(--($C$3:$C$78=$B190),G$3:G$78))</f>
        <v>1</v>
      </c>
      <c r="H190" s="507">
        <f t="shared" ca="1" si="92"/>
        <v>5</v>
      </c>
      <c r="I190" s="491">
        <f t="shared" ca="1" si="92"/>
        <v>16</v>
      </c>
      <c r="J190" s="507">
        <f t="shared" ca="1" si="92"/>
        <v>4</v>
      </c>
      <c r="K190" s="507">
        <f t="shared" ca="1" si="92"/>
        <v>0</v>
      </c>
      <c r="L190" s="507">
        <f t="shared" ca="1" si="92"/>
        <v>0</v>
      </c>
      <c r="M190" s="131">
        <f t="shared" ca="1" si="92"/>
        <v>8</v>
      </c>
      <c r="Q190" s="297">
        <f>Q187+1</f>
        <v>7</v>
      </c>
      <c r="R190" s="297" t="str">
        <f ca="1">IF(IBRF!H17="","",IBRF!H17)</f>
        <v>50</v>
      </c>
      <c r="S190" s="131" t="s">
        <v>21</v>
      </c>
      <c r="T190" s="131">
        <f ca="1">IF(OR($U190="",$U190=0),"",SUMPRODUCT(--($S$3:$S$78=$R190),T$3:T$78))</f>
        <v>0</v>
      </c>
      <c r="U190" s="131">
        <f ca="1">IF($R190="","",SUMPRODUCT(--(S$3:S$78=$R190)))</f>
        <v>6</v>
      </c>
      <c r="V190" s="131">
        <f t="shared" ref="V190:AC190" ca="1" si="93">IF(OR($U190="",$U190=0),"",SUMPRODUCT(--($S$3:$S$78=$R190),V$3:V$78))</f>
        <v>-20</v>
      </c>
      <c r="W190" s="507">
        <f t="shared" ca="1" si="93"/>
        <v>0</v>
      </c>
      <c r="X190" s="507">
        <f t="shared" ca="1" si="93"/>
        <v>1</v>
      </c>
      <c r="Y190" s="491">
        <f t="shared" ca="1" si="93"/>
        <v>0</v>
      </c>
      <c r="Z190" s="507">
        <f t="shared" ca="1" si="93"/>
        <v>1</v>
      </c>
      <c r="AA190" s="507">
        <f t="shared" ca="1" si="93"/>
        <v>0</v>
      </c>
      <c r="AB190" s="507">
        <f t="shared" ca="1" si="93"/>
        <v>0</v>
      </c>
      <c r="AC190" s="131">
        <f t="shared" ca="1" si="93"/>
        <v>6</v>
      </c>
    </row>
    <row r="191" spans="1:29">
      <c r="A191" s="297"/>
      <c r="B191" s="301"/>
      <c r="C191" s="131" t="s">
        <v>198</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198</v>
      </c>
      <c r="T191" s="131">
        <f ca="1">IF(OR($U191="",$U191=0),"",SUMPRODUCT(--($S$88:$S$163=$R190),T$88:T$163))</f>
        <v>20</v>
      </c>
      <c r="U191" s="131">
        <f ca="1">IF($R190="","",SUMPRODUCT(--(S$88:S$163=$R190)))</f>
        <v>6</v>
      </c>
      <c r="V191" s="131">
        <f t="shared" ref="V191:AC191" ca="1" si="95">IF(OR($U191="",$U191=0),"",SUMPRODUCT(--($S$88:$S$163=$R190),V$88:V$163))</f>
        <v>11</v>
      </c>
      <c r="W191" s="507">
        <f t="shared" ca="1" si="95"/>
        <v>1</v>
      </c>
      <c r="X191" s="507">
        <f t="shared" ca="1" si="95"/>
        <v>4</v>
      </c>
      <c r="Y191" s="491">
        <f t="shared" ca="1" si="95"/>
        <v>16</v>
      </c>
      <c r="Z191" s="507">
        <f t="shared" ca="1" si="95"/>
        <v>3</v>
      </c>
      <c r="AA191" s="507">
        <f t="shared" ca="1" si="95"/>
        <v>0</v>
      </c>
      <c r="AB191" s="507">
        <f t="shared" ca="1" si="95"/>
        <v>0</v>
      </c>
      <c r="AC191" s="131">
        <f t="shared" ca="1" si="95"/>
        <v>8</v>
      </c>
    </row>
    <row r="192" spans="1:29">
      <c r="A192" s="297"/>
      <c r="B192" s="301"/>
      <c r="C192" s="506" t="s">
        <v>23</v>
      </c>
      <c r="D192" s="506">
        <f ca="1">IF($B190="","",SUM(D190:D191))</f>
        <v>20</v>
      </c>
      <c r="E192" s="506">
        <f ca="1">IF($B190="","",SUM(E190:E191))</f>
        <v>6</v>
      </c>
      <c r="F192" s="506">
        <f ca="1">IF($B190="","",SUM(F190:F191))</f>
        <v>15</v>
      </c>
      <c r="G192" s="495">
        <f t="shared" ref="G192:L192" ca="1" si="96">IF($B190="","",SUM(G190,G191))</f>
        <v>1</v>
      </c>
      <c r="H192" s="495">
        <f t="shared" ca="1" si="96"/>
        <v>5</v>
      </c>
      <c r="I192" s="498">
        <f t="shared" ca="1" si="96"/>
        <v>16</v>
      </c>
      <c r="J192" s="495">
        <f t="shared" ca="1" si="96"/>
        <v>4</v>
      </c>
      <c r="K192" s="495">
        <f t="shared" ca="1" si="96"/>
        <v>0</v>
      </c>
      <c r="L192" s="495">
        <f t="shared" ca="1" si="96"/>
        <v>0</v>
      </c>
      <c r="M192" s="506">
        <f ca="1">IF($B190="","",SUM(M190:M191))</f>
        <v>8</v>
      </c>
      <c r="Q192" s="297"/>
      <c r="R192" s="297"/>
      <c r="S192" s="506" t="s">
        <v>23</v>
      </c>
      <c r="T192" s="506">
        <f ca="1">IF($R190="","",SUM(T190:T191))</f>
        <v>20</v>
      </c>
      <c r="U192" s="506">
        <f t="shared" ref="U192:AC192" ca="1" si="97">IF($R190="","",SUM(U190,U191))</f>
        <v>12</v>
      </c>
      <c r="V192" s="506">
        <f t="shared" ca="1" si="97"/>
        <v>-9</v>
      </c>
      <c r="W192" s="495">
        <f t="shared" ca="1" si="97"/>
        <v>1</v>
      </c>
      <c r="X192" s="495">
        <f t="shared" ca="1" si="97"/>
        <v>5</v>
      </c>
      <c r="Y192" s="498">
        <f t="shared" ca="1" si="97"/>
        <v>16</v>
      </c>
      <c r="Z192" s="495">
        <f t="shared" ca="1" si="97"/>
        <v>4</v>
      </c>
      <c r="AA192" s="495">
        <f t="shared" ca="1" si="97"/>
        <v>0</v>
      </c>
      <c r="AB192" s="495">
        <f t="shared" ca="1" si="97"/>
        <v>0</v>
      </c>
      <c r="AC192" s="506">
        <f t="shared" ca="1" si="97"/>
        <v>14</v>
      </c>
    </row>
    <row r="193" spans="1:29">
      <c r="A193" s="297">
        <f>A190+1</f>
        <v>8</v>
      </c>
      <c r="B193" s="301" t="str">
        <f ca="1">IF(IBRF!B18="","",IBRF!B18)</f>
        <v>212</v>
      </c>
      <c r="C193" s="131" t="s">
        <v>21</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620</v>
      </c>
      <c r="S193" s="131" t="s">
        <v>21</v>
      </c>
      <c r="T193" s="131">
        <f ca="1">IF(OR($U193="",$U193=0),"",SUMPRODUCT(--($S$3:$S$78=$R193),T$3:T$78))</f>
        <v>21</v>
      </c>
      <c r="U193" s="131">
        <f ca="1">IF($R193="","",SUMPRODUCT(--(S$3:S$78=$R193)))</f>
        <v>8</v>
      </c>
      <c r="V193" s="131">
        <f t="shared" ref="V193:AC193" ca="1" si="99">IF(OR($U193="",$U193=0),"",SUMPRODUCT(--($S$3:$S$78=$R193),V$3:V$78))</f>
        <v>6</v>
      </c>
      <c r="W193" s="507">
        <f t="shared" ca="1" si="99"/>
        <v>1</v>
      </c>
      <c r="X193" s="507">
        <f t="shared" ca="1" si="99"/>
        <v>5</v>
      </c>
      <c r="Y193" s="491">
        <f t="shared" ca="1" si="99"/>
        <v>21</v>
      </c>
      <c r="Z193" s="507">
        <f t="shared" ca="1" si="99"/>
        <v>5</v>
      </c>
      <c r="AA193" s="507">
        <f t="shared" ca="1" si="99"/>
        <v>0</v>
      </c>
      <c r="AB193" s="507">
        <f t="shared" ca="1" si="99"/>
        <v>0</v>
      </c>
      <c r="AC193" s="131">
        <f t="shared" ca="1" si="99"/>
        <v>9</v>
      </c>
    </row>
    <row r="194" spans="1:29">
      <c r="A194" s="297"/>
      <c r="B194" s="301"/>
      <c r="C194" s="131" t="s">
        <v>198</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198</v>
      </c>
      <c r="T194" s="131">
        <f ca="1">IF(OR($U194="",$U194=0),"",SUMPRODUCT(--($S$88:$S$163=$R193),T$88:T$163))</f>
        <v>34</v>
      </c>
      <c r="U194" s="131">
        <f ca="1">IF($R193="","",SUMPRODUCT(--(S$88:S$163=$R193)))</f>
        <v>8</v>
      </c>
      <c r="V194" s="131">
        <f t="shared" ref="V194:AC194" ca="1" si="101">IF(OR($U194="",$U194=0),"",SUMPRODUCT(--($S$88:$S$163=$R193),V$88:V$163))</f>
        <v>4</v>
      </c>
      <c r="W194" s="507">
        <f t="shared" ca="1" si="101"/>
        <v>0</v>
      </c>
      <c r="X194" s="507">
        <f t="shared" ca="1" si="101"/>
        <v>5</v>
      </c>
      <c r="Y194" s="491">
        <f t="shared" ca="1" si="101"/>
        <v>16</v>
      </c>
      <c r="Z194" s="507">
        <f t="shared" ca="1" si="101"/>
        <v>4</v>
      </c>
      <c r="AA194" s="507">
        <f t="shared" ca="1" si="101"/>
        <v>0</v>
      </c>
      <c r="AB194" s="507">
        <f t="shared" ca="1" si="101"/>
        <v>0</v>
      </c>
      <c r="AC194" s="131">
        <f t="shared" ca="1" si="101"/>
        <v>11</v>
      </c>
    </row>
    <row r="195" spans="1:29">
      <c r="A195" s="297"/>
      <c r="B195" s="301"/>
      <c r="C195" s="506" t="s">
        <v>23</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23</v>
      </c>
      <c r="T195" s="506">
        <f ca="1">IF($R193="","",SUM(T193:T194))</f>
        <v>55</v>
      </c>
      <c r="U195" s="506">
        <f t="shared" ref="U195:AC195" ca="1" si="103">IF($R193="","",SUM(U193,U194))</f>
        <v>16</v>
      </c>
      <c r="V195" s="506">
        <f t="shared" ca="1" si="103"/>
        <v>10</v>
      </c>
      <c r="W195" s="495">
        <f t="shared" ca="1" si="103"/>
        <v>1</v>
      </c>
      <c r="X195" s="495">
        <f t="shared" ca="1" si="103"/>
        <v>10</v>
      </c>
      <c r="Y195" s="498">
        <f t="shared" ca="1" si="103"/>
        <v>37</v>
      </c>
      <c r="Z195" s="495">
        <f t="shared" ca="1" si="103"/>
        <v>9</v>
      </c>
      <c r="AA195" s="495">
        <f t="shared" ca="1" si="103"/>
        <v>0</v>
      </c>
      <c r="AB195" s="495">
        <f t="shared" ca="1" si="103"/>
        <v>0</v>
      </c>
      <c r="AC195" s="506">
        <f t="shared" ca="1" si="103"/>
        <v>20</v>
      </c>
    </row>
    <row r="196" spans="1:29">
      <c r="A196" s="297">
        <f>A193+1</f>
        <v>9</v>
      </c>
      <c r="B196" s="301" t="str">
        <f ca="1">IF(IBRF!B19="","",IBRF!B19)</f>
        <v>33 1/3</v>
      </c>
      <c r="C196" s="131" t="s">
        <v>21</v>
      </c>
      <c r="D196" s="131">
        <f ca="1">IF(OR($E196="",$E196=0),"",SUMPRODUCT(--($C$3:$C$78=$B196),D$3:D$78))</f>
        <v>25</v>
      </c>
      <c r="E196" s="131">
        <f ca="1">IF($B196="","",SUMPRODUCT(--(C$3:C$78=$B196)))</f>
        <v>5</v>
      </c>
      <c r="F196" s="131">
        <f ca="1">IF(OR($E196="",$E196=0),"",SUMIF($C$3:$C$62,$B196,F$3:F$62))</f>
        <v>14</v>
      </c>
      <c r="G196" s="507">
        <f t="shared" ref="G196:M196" ca="1" si="104">IF(OR($E196="",$E196=0),"",SUMPRODUCT(--($C$3:$C$78=$B196),G$3:G$78))</f>
        <v>1</v>
      </c>
      <c r="H196" s="507">
        <f t="shared" ca="1" si="104"/>
        <v>2</v>
      </c>
      <c r="I196" s="491">
        <f t="shared" ca="1" si="104"/>
        <v>13</v>
      </c>
      <c r="J196" s="507">
        <f t="shared" ca="1" si="104"/>
        <v>2</v>
      </c>
      <c r="K196" s="507">
        <f t="shared" ca="1" si="104"/>
        <v>0</v>
      </c>
      <c r="L196" s="507">
        <f t="shared" ca="1" si="104"/>
        <v>0</v>
      </c>
      <c r="M196" s="131">
        <f t="shared" ca="1" si="104"/>
        <v>8</v>
      </c>
      <c r="Q196" s="297">
        <f>Q193+1</f>
        <v>9</v>
      </c>
      <c r="R196" s="297" t="str">
        <f ca="1">IF(IBRF!H19="","",IBRF!H19)</f>
        <v>7</v>
      </c>
      <c r="S196" s="131" t="s">
        <v>21</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198</v>
      </c>
      <c r="D197" s="131">
        <f ca="1">IF(OR($E197="",$E197=0),"",SUMPRODUCT(--($C$88:$C$163=$B196),D$88:D$163))</f>
        <v>23</v>
      </c>
      <c r="E197" s="131">
        <f ca="1">IF($B196="","",SUMPRODUCT(--(C$88:C$163=$B196)))</f>
        <v>3</v>
      </c>
      <c r="F197" s="131">
        <f ca="1">IF(OR($E197="",$E197=0),"",SUMIF($C$88:$C$147,$B196,F$88:F$147))</f>
        <v>18</v>
      </c>
      <c r="G197" s="507">
        <f t="shared" ref="G197:M197" ca="1" si="106">IF(OR($E197="",$E197=0),"",SUMPRODUCT(--($C$88:$C$163=$B196),G$88:G$163))</f>
        <v>0</v>
      </c>
      <c r="H197" s="507">
        <f t="shared" ca="1" si="106"/>
        <v>1</v>
      </c>
      <c r="I197" s="491">
        <f t="shared" ca="1" si="106"/>
        <v>10</v>
      </c>
      <c r="J197" s="507">
        <f t="shared" ca="1" si="106"/>
        <v>1</v>
      </c>
      <c r="K197" s="507">
        <f t="shared" ca="1" si="106"/>
        <v>0</v>
      </c>
      <c r="L197" s="507">
        <f t="shared" ca="1" si="106"/>
        <v>0</v>
      </c>
      <c r="M197" s="131">
        <f t="shared" ca="1" si="106"/>
        <v>6</v>
      </c>
      <c r="Q197" s="297"/>
      <c r="R197" s="297"/>
      <c r="S197" s="131" t="s">
        <v>198</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23</v>
      </c>
      <c r="D198" s="506">
        <f ca="1">IF($B196="","",SUM(D196:D197))</f>
        <v>48</v>
      </c>
      <c r="E198" s="506">
        <f ca="1">IF($B196="","",SUM(E196:E197))</f>
        <v>8</v>
      </c>
      <c r="F198" s="506">
        <f ca="1">IF($B196="","",SUM(F196:F197))</f>
        <v>32</v>
      </c>
      <c r="G198" s="495">
        <f t="shared" ref="G198:L198" ca="1" si="108">IF($B196="","",SUM(G196,G197))</f>
        <v>1</v>
      </c>
      <c r="H198" s="495">
        <f t="shared" ca="1" si="108"/>
        <v>3</v>
      </c>
      <c r="I198" s="498">
        <f t="shared" ca="1" si="108"/>
        <v>23</v>
      </c>
      <c r="J198" s="495">
        <f t="shared" ca="1" si="108"/>
        <v>3</v>
      </c>
      <c r="K198" s="495">
        <f t="shared" ca="1" si="108"/>
        <v>0</v>
      </c>
      <c r="L198" s="495">
        <f t="shared" ca="1" si="108"/>
        <v>0</v>
      </c>
      <c r="M198" s="506">
        <f ca="1">IF($B196="","",SUM(M196:M197))</f>
        <v>14</v>
      </c>
      <c r="Q198" s="297"/>
      <c r="R198" s="297"/>
      <c r="S198" s="506" t="s">
        <v>23</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428</v>
      </c>
      <c r="C199" s="131" t="s">
        <v>21</v>
      </c>
      <c r="D199" s="131">
        <f ca="1">IF(OR($E199="",$E199=0),"",SUMPRODUCT(--($C$3:$C$78=$B199),D$3:D$78))</f>
        <v>8</v>
      </c>
      <c r="E199" s="131">
        <f ca="1">IF($B199="","",SUMPRODUCT(--(C$3:C$78=$B199)))</f>
        <v>5</v>
      </c>
      <c r="F199" s="131">
        <f ca="1">IF(OR($E199="",$E199=0),"",SUMIF($C$3:$C$62,$B199,F$3:F$62))</f>
        <v>-3</v>
      </c>
      <c r="G199" s="507">
        <f t="shared" ref="G199:M199" ca="1" si="110">IF(OR($E199="",$E199=0),"",SUMPRODUCT(--($C$3:$C$78=$B199),G$3:G$78))</f>
        <v>0</v>
      </c>
      <c r="H199" s="507">
        <f t="shared" ca="1" si="110"/>
        <v>2</v>
      </c>
      <c r="I199" s="491">
        <f t="shared" ca="1" si="110"/>
        <v>8</v>
      </c>
      <c r="J199" s="507">
        <f t="shared" ca="1" si="110"/>
        <v>2</v>
      </c>
      <c r="K199" s="507">
        <f t="shared" ca="1" si="110"/>
        <v>0</v>
      </c>
      <c r="L199" s="507">
        <f t="shared" ca="1" si="110"/>
        <v>0</v>
      </c>
      <c r="M199" s="131">
        <f t="shared" ca="1" si="110"/>
        <v>5</v>
      </c>
      <c r="Q199" s="297">
        <f>Q196+1</f>
        <v>10</v>
      </c>
      <c r="R199" s="297" t="str">
        <f ca="1">IF(IBRF!H20="","",IBRF!H20)</f>
        <v>72</v>
      </c>
      <c r="S199" s="131" t="s">
        <v>21</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198</v>
      </c>
      <c r="D200" s="131">
        <f ca="1">IF(OR($E200="",$E200=0),"",SUMPRODUCT(--($C$88:$C$163=$B199),D$88:D$163))</f>
        <v>30</v>
      </c>
      <c r="E200" s="131">
        <f ca="1">IF($B199="","",SUMPRODUCT(--(C$88:C$163=$B199)))</f>
        <v>8</v>
      </c>
      <c r="F200" s="131">
        <f ca="1">IF(OR($E200="",$E200=0),"",SUMIF($C$88:$C$147,$B199,F$88:F$147))</f>
        <v>-9</v>
      </c>
      <c r="G200" s="507">
        <f t="shared" ref="G200:M200" ca="1" si="112">IF(OR($E200="",$E200=0),"",SUMPRODUCT(--($C$88:$C$163=$B199),G$88:G$163))</f>
        <v>0</v>
      </c>
      <c r="H200" s="507">
        <f t="shared" ca="1" si="112"/>
        <v>4</v>
      </c>
      <c r="I200" s="491">
        <f t="shared" ca="1" si="112"/>
        <v>14</v>
      </c>
      <c r="J200" s="507">
        <f t="shared" ca="1" si="112"/>
        <v>2</v>
      </c>
      <c r="K200" s="507">
        <f t="shared" ca="1" si="112"/>
        <v>0</v>
      </c>
      <c r="L200" s="507">
        <f t="shared" ca="1" si="112"/>
        <v>0</v>
      </c>
      <c r="M200" s="131">
        <f t="shared" ca="1" si="112"/>
        <v>11</v>
      </c>
      <c r="Q200" s="297"/>
      <c r="R200" s="297"/>
      <c r="S200" s="131" t="s">
        <v>198</v>
      </c>
      <c r="T200" s="131">
        <f ca="1">IF(OR($U200="",$U200=0),"",SUMPRODUCT(--($S$88:$S$163=$R199),T$88:T$163))</f>
        <v>0</v>
      </c>
      <c r="U200" s="131">
        <f ca="1">IF($R199="","",SUMPRODUCT(--(S$88:S$163=$R199)))</f>
        <v>1</v>
      </c>
      <c r="V200" s="131">
        <f t="shared" ref="V200:AC200" ca="1" si="113">IF(OR($U200="",$U200=0),"",SUMPRODUCT(--($S$88:$S$163=$R199),V$88:V$163))</f>
        <v>-12</v>
      </c>
      <c r="W200" s="507">
        <f t="shared" ca="1" si="113"/>
        <v>1</v>
      </c>
      <c r="X200" s="507">
        <f t="shared" ca="1" si="113"/>
        <v>1</v>
      </c>
      <c r="Y200" s="491">
        <f t="shared" ca="1" si="113"/>
        <v>-12</v>
      </c>
      <c r="Z200" s="507">
        <f t="shared" ca="1" si="113"/>
        <v>0</v>
      </c>
      <c r="AA200" s="507">
        <f t="shared" ca="1" si="113"/>
        <v>0</v>
      </c>
      <c r="AB200" s="507">
        <f t="shared" ca="1" si="113"/>
        <v>1</v>
      </c>
      <c r="AC200" s="131">
        <f t="shared" ca="1" si="113"/>
        <v>0</v>
      </c>
    </row>
    <row r="201" spans="1:29">
      <c r="A201" s="297"/>
      <c r="B201" s="301"/>
      <c r="C201" s="506" t="s">
        <v>23</v>
      </c>
      <c r="D201" s="506">
        <f ca="1">IF($B199="","",SUM(D199:D200))</f>
        <v>38</v>
      </c>
      <c r="E201" s="506">
        <f ca="1">IF($B199="","",SUM(E199:E200))</f>
        <v>13</v>
      </c>
      <c r="F201" s="506">
        <f ca="1">IF($B199="","",SUM(F199:F200))</f>
        <v>-12</v>
      </c>
      <c r="G201" s="495">
        <f t="shared" ref="G201:L201" ca="1" si="114">IF($B199="","",SUM(G199,G200))</f>
        <v>0</v>
      </c>
      <c r="H201" s="495">
        <f t="shared" ca="1" si="114"/>
        <v>6</v>
      </c>
      <c r="I201" s="498">
        <f t="shared" ca="1" si="114"/>
        <v>22</v>
      </c>
      <c r="J201" s="495">
        <f t="shared" ca="1" si="114"/>
        <v>4</v>
      </c>
      <c r="K201" s="495">
        <f t="shared" ca="1" si="114"/>
        <v>0</v>
      </c>
      <c r="L201" s="495">
        <f t="shared" ca="1" si="114"/>
        <v>0</v>
      </c>
      <c r="M201" s="506">
        <f ca="1">IF($B199="","",SUM(M199:M200))</f>
        <v>16</v>
      </c>
      <c r="Q201" s="297"/>
      <c r="R201" s="297"/>
      <c r="S201" s="506" t="s">
        <v>23</v>
      </c>
      <c r="T201" s="506">
        <f ca="1">IF($R199="","",SUM(T199:T200))</f>
        <v>0</v>
      </c>
      <c r="U201" s="506">
        <f t="shared" ref="U201:AC201" ca="1" si="115">IF($R199="","",SUM(U199,U200))</f>
        <v>1</v>
      </c>
      <c r="V201" s="506">
        <f t="shared" ca="1" si="115"/>
        <v>-12</v>
      </c>
      <c r="W201" s="495">
        <f t="shared" ca="1" si="115"/>
        <v>1</v>
      </c>
      <c r="X201" s="495">
        <f t="shared" ca="1" si="115"/>
        <v>1</v>
      </c>
      <c r="Y201" s="498">
        <f t="shared" ca="1" si="115"/>
        <v>-12</v>
      </c>
      <c r="Z201" s="495">
        <f t="shared" ca="1" si="115"/>
        <v>0</v>
      </c>
      <c r="AA201" s="495">
        <f t="shared" ca="1" si="115"/>
        <v>0</v>
      </c>
      <c r="AB201" s="495">
        <f t="shared" ca="1" si="115"/>
        <v>1</v>
      </c>
      <c r="AC201" s="506">
        <f t="shared" ca="1" si="115"/>
        <v>0</v>
      </c>
    </row>
    <row r="202" spans="1:29">
      <c r="A202" s="297">
        <f>A199+1</f>
        <v>11</v>
      </c>
      <c r="B202" s="301" t="str">
        <f ca="1">IF(IBRF!B21="","",IBRF!B21)</f>
        <v>6</v>
      </c>
      <c r="C202" s="131" t="s">
        <v>21</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9.81</v>
      </c>
      <c r="S202" s="131" t="s">
        <v>21</v>
      </c>
      <c r="T202" s="131">
        <f ca="1">IF(OR($U202="",$U202=0),"",SUMPRODUCT(--($S$3:$S$78=$R202),T$3:T$78))</f>
        <v>5</v>
      </c>
      <c r="U202" s="131">
        <f ca="1">IF($R202="","",SUMPRODUCT(--(S$3:S$78=$R202)))</f>
        <v>8</v>
      </c>
      <c r="V202" s="131">
        <f t="shared" ref="V202:AC202" ca="1" si="117">IF(OR($U202="",$U202=0),"",SUMPRODUCT(--($S$3:$S$78=$R202),V$3:V$78))</f>
        <v>-15</v>
      </c>
      <c r="W202" s="507">
        <f t="shared" ca="1" si="117"/>
        <v>1</v>
      </c>
      <c r="X202" s="507">
        <f t="shared" ca="1" si="117"/>
        <v>2</v>
      </c>
      <c r="Y202" s="491">
        <f t="shared" ca="1" si="117"/>
        <v>5</v>
      </c>
      <c r="Z202" s="507">
        <f t="shared" ca="1" si="117"/>
        <v>2</v>
      </c>
      <c r="AA202" s="507">
        <f t="shared" ca="1" si="117"/>
        <v>0</v>
      </c>
      <c r="AB202" s="507">
        <f t="shared" ca="1" si="117"/>
        <v>0</v>
      </c>
      <c r="AC202" s="131">
        <f t="shared" ca="1" si="117"/>
        <v>8</v>
      </c>
    </row>
    <row r="203" spans="1:29">
      <c r="A203" s="297"/>
      <c r="B203" s="301"/>
      <c r="C203" s="131" t="s">
        <v>198</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198</v>
      </c>
      <c r="T203" s="131">
        <f ca="1">IF(OR($U203="",$U203=0),"",SUMPRODUCT(--($S$88:$S$163=$R202),T$88:T$163))</f>
        <v>22</v>
      </c>
      <c r="U203" s="131">
        <f ca="1">IF($R202="","",SUMPRODUCT(--(S$88:S$163=$R202)))</f>
        <v>5</v>
      </c>
      <c r="V203" s="131">
        <f t="shared" ref="V203:AC203" ca="1" si="119">IF(OR($U203="",$U203=0),"",SUMPRODUCT(--($S$88:$S$163=$R202),V$88:V$163))</f>
        <v>7</v>
      </c>
      <c r="W203" s="507">
        <f t="shared" ca="1" si="119"/>
        <v>0</v>
      </c>
      <c r="X203" s="507">
        <f t="shared" ca="1" si="119"/>
        <v>2</v>
      </c>
      <c r="Y203" s="491">
        <f t="shared" ca="1" si="119"/>
        <v>12</v>
      </c>
      <c r="Z203" s="507">
        <f t="shared" ca="1" si="119"/>
        <v>2</v>
      </c>
      <c r="AA203" s="507">
        <f t="shared" ca="1" si="119"/>
        <v>0</v>
      </c>
      <c r="AB203" s="507">
        <f t="shared" ca="1" si="119"/>
        <v>0</v>
      </c>
      <c r="AC203" s="131">
        <f t="shared" ca="1" si="119"/>
        <v>7</v>
      </c>
    </row>
    <row r="204" spans="1:29">
      <c r="A204" s="297"/>
      <c r="B204" s="301"/>
      <c r="C204" s="506" t="s">
        <v>23</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23</v>
      </c>
      <c r="T204" s="506">
        <f ca="1">IF($R202="","",SUM(T202:T203))</f>
        <v>27</v>
      </c>
      <c r="U204" s="506">
        <f t="shared" ref="U204:AC204" ca="1" si="121">IF($R202="","",SUM(U202,U203))</f>
        <v>13</v>
      </c>
      <c r="V204" s="506">
        <f t="shared" ca="1" si="121"/>
        <v>-8</v>
      </c>
      <c r="W204" s="495">
        <f t="shared" ca="1" si="121"/>
        <v>1</v>
      </c>
      <c r="X204" s="495">
        <f t="shared" ca="1" si="121"/>
        <v>4</v>
      </c>
      <c r="Y204" s="498">
        <f t="shared" ca="1" si="121"/>
        <v>17</v>
      </c>
      <c r="Z204" s="495">
        <f t="shared" ca="1" si="121"/>
        <v>4</v>
      </c>
      <c r="AA204" s="495">
        <f t="shared" ca="1" si="121"/>
        <v>0</v>
      </c>
      <c r="AB204" s="495">
        <f t="shared" ca="1" si="121"/>
        <v>0</v>
      </c>
      <c r="AC204" s="506">
        <f t="shared" ca="1" si="121"/>
        <v>15</v>
      </c>
    </row>
    <row r="205" spans="1:29">
      <c r="A205" s="297">
        <f>A202+1</f>
        <v>12</v>
      </c>
      <c r="B205" s="301" t="str">
        <f ca="1">IF(IBRF!B22="","",IBRF!B22)</f>
        <v>728</v>
      </c>
      <c r="C205" s="131" t="s">
        <v>21</v>
      </c>
      <c r="D205" s="131">
        <f ca="1">IF(OR($E205="",$E205=0),"",SUMPRODUCT(--($C$3:$C$78=$B205),D$3:D$78))</f>
        <v>10</v>
      </c>
      <c r="E205" s="131">
        <f ca="1">IF($B205="","",SUMPRODUCT(--(C$3:C$78=$B205)))</f>
        <v>3</v>
      </c>
      <c r="F205" s="131">
        <f ca="1">IF(OR($E205="",$E205=0),"",SUMIF($C$3:$C$62,$B205,F$3:F$62))</f>
        <v>10</v>
      </c>
      <c r="G205" s="507">
        <f t="shared" ref="G205:M205" ca="1" si="122">IF(OR($E205="",$E205=0),"",SUMPRODUCT(--($C$3:$C$78=$B205),G$3:G$78))</f>
        <v>0</v>
      </c>
      <c r="H205" s="507">
        <f t="shared" ca="1" si="122"/>
        <v>3</v>
      </c>
      <c r="I205" s="491">
        <f t="shared" ca="1" si="122"/>
        <v>10</v>
      </c>
      <c r="J205" s="507">
        <f t="shared" ca="1" si="122"/>
        <v>3</v>
      </c>
      <c r="K205" s="507">
        <f t="shared" ca="1" si="122"/>
        <v>0</v>
      </c>
      <c r="L205" s="507">
        <f t="shared" ca="1" si="122"/>
        <v>0</v>
      </c>
      <c r="M205" s="131">
        <f t="shared" ca="1" si="122"/>
        <v>3</v>
      </c>
      <c r="Q205" s="297">
        <f>Q202+1</f>
        <v>12</v>
      </c>
      <c r="R205" s="297" t="str">
        <f ca="1">IF(IBRF!H22="","",IBRF!H22)</f>
        <v>I-75</v>
      </c>
      <c r="S205" s="131" t="s">
        <v>21</v>
      </c>
      <c r="T205" s="131" t="str">
        <f ca="1">IF(OR($U205="",$U205=0),"",SUMPRODUCT(--($S$3:$S$78=$R205),T$3:T$78))</f>
        <v/>
      </c>
      <c r="U205" s="131">
        <f ca="1">IF($R205="","",SUMPRODUCT(--(S$3:S$78=$R205)))</f>
        <v>0</v>
      </c>
      <c r="V205" s="131" t="str">
        <f t="shared" ref="V205:AC205" ca="1" si="123">IF(OR($U205="",$U205=0),"",SUMPRODUCT(--($S$3:$S$78=$R205),V$3:V$78))</f>
        <v/>
      </c>
      <c r="W205" s="507" t="str">
        <f t="shared" ca="1" si="123"/>
        <v/>
      </c>
      <c r="X205" s="507" t="str">
        <f t="shared" ca="1" si="123"/>
        <v/>
      </c>
      <c r="Y205" s="491" t="str">
        <f t="shared" ca="1" si="123"/>
        <v/>
      </c>
      <c r="Z205" s="507" t="str">
        <f t="shared" ca="1" si="123"/>
        <v/>
      </c>
      <c r="AA205" s="507" t="str">
        <f t="shared" ca="1" si="123"/>
        <v/>
      </c>
      <c r="AB205" s="507" t="str">
        <f t="shared" ca="1" si="123"/>
        <v/>
      </c>
      <c r="AC205" s="131" t="str">
        <f t="shared" ca="1" si="123"/>
        <v/>
      </c>
    </row>
    <row r="206" spans="1:29">
      <c r="A206" s="297"/>
      <c r="B206" s="301"/>
      <c r="C206" s="131" t="s">
        <v>198</v>
      </c>
      <c r="D206" s="131">
        <f ca="1">IF(OR($E206="",$E206=0),"",SUMPRODUCT(--($C$88:$C$163=$B205),D$88:D$163))</f>
        <v>7</v>
      </c>
      <c r="E206" s="131">
        <f ca="1">IF($B205="","",SUMPRODUCT(--(C$88:C$163=$B205)))</f>
        <v>4</v>
      </c>
      <c r="F206" s="131">
        <f ca="1">IF(OR($E206="",$E206=0),"",SUMIF($C$88:$C$147,$B205,F$88:F$147))</f>
        <v>-21</v>
      </c>
      <c r="G206" s="507">
        <f t="shared" ref="G206:M206" ca="1" si="124">IF(OR($E206="",$E206=0),"",SUMPRODUCT(--($C$88:$C$163=$B205),G$88:G$163))</f>
        <v>2</v>
      </c>
      <c r="H206" s="507">
        <f t="shared" ca="1" si="124"/>
        <v>1</v>
      </c>
      <c r="I206" s="491">
        <f t="shared" ca="1" si="124"/>
        <v>-7</v>
      </c>
      <c r="J206" s="507">
        <f t="shared" ca="1" si="124"/>
        <v>0</v>
      </c>
      <c r="K206" s="507">
        <f t="shared" ca="1" si="124"/>
        <v>0</v>
      </c>
      <c r="L206" s="507">
        <f t="shared" ca="1" si="124"/>
        <v>0</v>
      </c>
      <c r="M206" s="131">
        <f t="shared" ca="1" si="124"/>
        <v>4</v>
      </c>
      <c r="Q206" s="297"/>
      <c r="R206" s="297"/>
      <c r="S206" s="131" t="s">
        <v>198</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23</v>
      </c>
      <c r="D207" s="506">
        <f ca="1">IF($B205="","",SUM(D205:D206))</f>
        <v>17</v>
      </c>
      <c r="E207" s="506">
        <f ca="1">IF($B205="","",SUM(E205:E206))</f>
        <v>7</v>
      </c>
      <c r="F207" s="506">
        <f ca="1">IF($B205="","",SUM(F205:F206))</f>
        <v>-11</v>
      </c>
      <c r="G207" s="495">
        <f t="shared" ref="G207:L207" ca="1" si="126">IF($B205="","",SUM(G205,G206))</f>
        <v>2</v>
      </c>
      <c r="H207" s="495">
        <f t="shared" ca="1" si="126"/>
        <v>4</v>
      </c>
      <c r="I207" s="498">
        <f t="shared" ca="1" si="126"/>
        <v>3</v>
      </c>
      <c r="J207" s="495">
        <f t="shared" ca="1" si="126"/>
        <v>3</v>
      </c>
      <c r="K207" s="495">
        <f t="shared" ca="1" si="126"/>
        <v>0</v>
      </c>
      <c r="L207" s="495">
        <f t="shared" ca="1" si="126"/>
        <v>0</v>
      </c>
      <c r="M207" s="506">
        <f ca="1">IF($B205="","",SUM(M205:M206))</f>
        <v>7</v>
      </c>
      <c r="Q207" s="297"/>
      <c r="R207" s="297"/>
      <c r="S207" s="506" t="s">
        <v>23</v>
      </c>
      <c r="T207" s="506">
        <f ca="1">IF($R205="","",SUM(T205:T206))</f>
        <v>0</v>
      </c>
      <c r="U207" s="506">
        <f t="shared" ref="U207:AC207" ca="1" si="127">IF($R205="","",SUM(U205,U206))</f>
        <v>0</v>
      </c>
      <c r="V207" s="506">
        <f t="shared" ca="1" si="127"/>
        <v>0</v>
      </c>
      <c r="W207" s="495">
        <f t="shared" ca="1" si="127"/>
        <v>0</v>
      </c>
      <c r="X207" s="495">
        <f t="shared" ca="1" si="127"/>
        <v>0</v>
      </c>
      <c r="Y207" s="498">
        <f t="shared" ca="1" si="127"/>
        <v>0</v>
      </c>
      <c r="Z207" s="495">
        <f t="shared" ca="1" si="127"/>
        <v>0</v>
      </c>
      <c r="AA207" s="495">
        <f t="shared" ca="1" si="127"/>
        <v>0</v>
      </c>
      <c r="AB207" s="495">
        <f t="shared" ca="1" si="127"/>
        <v>0</v>
      </c>
      <c r="AC207" s="506">
        <f t="shared" ca="1" si="127"/>
        <v>0</v>
      </c>
    </row>
    <row r="208" spans="1:29">
      <c r="A208" s="297">
        <f>A205+1</f>
        <v>13</v>
      </c>
      <c r="B208" s="301" t="str">
        <f ca="1">IF(IBRF!B23="","",IBRF!B23)</f>
        <v>80</v>
      </c>
      <c r="C208" s="131" t="s">
        <v>21</v>
      </c>
      <c r="D208" s="131">
        <f ca="1">IF(OR($E208="",$E208=0),"",SUMPRODUCT(--($C$3:$C$78=$B208),D$3:D$78))</f>
        <v>12</v>
      </c>
      <c r="E208" s="131">
        <f ca="1">IF($B208="","",SUMPRODUCT(--(C$3:C$78=$B208)))</f>
        <v>5</v>
      </c>
      <c r="F208" s="131">
        <f ca="1">IF(OR($E208="",$E208=0),"",SUMIF($C$3:$C$62,$B208,F$3:F$62))</f>
        <v>8</v>
      </c>
      <c r="G208" s="507">
        <f t="shared" ref="G208:M208" ca="1" si="128">IF(OR($E208="",$E208=0),"",SUMPRODUCT(--($C$3:$C$78=$B208),G$3:G$78))</f>
        <v>0</v>
      </c>
      <c r="H208" s="507">
        <f t="shared" ca="1" si="128"/>
        <v>3</v>
      </c>
      <c r="I208" s="491">
        <f t="shared" ca="1" si="128"/>
        <v>12</v>
      </c>
      <c r="J208" s="507">
        <f t="shared" ca="1" si="128"/>
        <v>3</v>
      </c>
      <c r="K208" s="507">
        <f t="shared" ca="1" si="128"/>
        <v>0</v>
      </c>
      <c r="L208" s="507">
        <f t="shared" ca="1" si="128"/>
        <v>0</v>
      </c>
      <c r="M208" s="131">
        <f t="shared" ca="1" si="128"/>
        <v>5</v>
      </c>
      <c r="Q208" s="297">
        <f>Q205+1</f>
        <v>13</v>
      </c>
      <c r="R208" s="297" t="str">
        <f ca="1">IF(IBRF!H23="","",IBRF!H23)</f>
        <v>N2O</v>
      </c>
      <c r="S208" s="131" t="s">
        <v>21</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198</v>
      </c>
      <c r="D209" s="131">
        <f ca="1">IF(OR($E209="",$E209=0),"",SUMPRODUCT(--($C$88:$C$163=$B208),D$88:D$163))</f>
        <v>7</v>
      </c>
      <c r="E209" s="131">
        <f ca="1">IF($B208="","",SUMPRODUCT(--(C$88:C$163=$B208)))</f>
        <v>5</v>
      </c>
      <c r="F209" s="131">
        <f ca="1">IF(OR($E209="",$E209=0),"",SUMIF($C$88:$C$147,$B208,F$88:F$147))</f>
        <v>2</v>
      </c>
      <c r="G209" s="507">
        <f t="shared" ref="G209:M209" ca="1" si="130">IF(OR($E209="",$E209=0),"",SUMPRODUCT(--($C$88:$C$163=$B208),G$88:G$163))</f>
        <v>0</v>
      </c>
      <c r="H209" s="507">
        <f t="shared" ca="1" si="130"/>
        <v>2</v>
      </c>
      <c r="I209" s="491">
        <f t="shared" ca="1" si="130"/>
        <v>5</v>
      </c>
      <c r="J209" s="507">
        <f t="shared" ca="1" si="130"/>
        <v>2</v>
      </c>
      <c r="K209" s="507">
        <f t="shared" ca="1" si="130"/>
        <v>0</v>
      </c>
      <c r="L209" s="507">
        <f t="shared" ca="1" si="130"/>
        <v>0</v>
      </c>
      <c r="M209" s="131">
        <f t="shared" ca="1" si="130"/>
        <v>5</v>
      </c>
      <c r="Q209" s="297"/>
      <c r="R209" s="297"/>
      <c r="S209" s="131" t="s">
        <v>198</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23</v>
      </c>
      <c r="D210" s="506">
        <f ca="1">IF($B208="","",SUM(D208:D209))</f>
        <v>19</v>
      </c>
      <c r="E210" s="506">
        <f ca="1">IF($B208="","",SUM(E208:E209))</f>
        <v>10</v>
      </c>
      <c r="F210" s="506">
        <f ca="1">IF($B208="","",SUM(F208:F209))</f>
        <v>10</v>
      </c>
      <c r="G210" s="495">
        <f t="shared" ref="G210:L210" ca="1" si="132">IF($B208="","",SUM(G208,G209))</f>
        <v>0</v>
      </c>
      <c r="H210" s="495">
        <f t="shared" ca="1" si="132"/>
        <v>5</v>
      </c>
      <c r="I210" s="498">
        <f t="shared" ca="1" si="132"/>
        <v>17</v>
      </c>
      <c r="J210" s="495">
        <f t="shared" ca="1" si="132"/>
        <v>5</v>
      </c>
      <c r="K210" s="495">
        <f t="shared" ca="1" si="132"/>
        <v>0</v>
      </c>
      <c r="L210" s="495">
        <f t="shared" ca="1" si="132"/>
        <v>0</v>
      </c>
      <c r="M210" s="506">
        <f ca="1">IF($B208="","",SUM(M208:M209))</f>
        <v>10</v>
      </c>
      <c r="Q210" s="297"/>
      <c r="R210" s="297"/>
      <c r="S210" s="506" t="s">
        <v>23</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9.99</v>
      </c>
      <c r="C211" s="131" t="s">
        <v>21</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W00T</v>
      </c>
      <c r="S211" s="131" t="s">
        <v>21</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198</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198</v>
      </c>
      <c r="T212" s="131">
        <f ca="1">IF(OR($U212="",$U212=0),"",SUMPRODUCT(--($S$88:$S$163=$R211),T$88:T$163))</f>
        <v>1</v>
      </c>
      <c r="U212" s="131">
        <f ca="1">IF($R211="","",SUMPRODUCT(--(S$88:S$163=$R211)))</f>
        <v>1</v>
      </c>
      <c r="V212" s="131">
        <f t="shared" ref="V212:AC212" ca="1" si="137">IF(OR($U212="",$U212=0),"",SUMPRODUCT(--($S$88:$S$163=$R211),V$88:V$163))</f>
        <v>0</v>
      </c>
      <c r="W212" s="507">
        <f t="shared" ca="1" si="137"/>
        <v>0</v>
      </c>
      <c r="X212" s="507">
        <f t="shared" ca="1" si="137"/>
        <v>0</v>
      </c>
      <c r="Y212" s="491">
        <f t="shared" ca="1" si="137"/>
        <v>0</v>
      </c>
      <c r="Z212" s="507">
        <f t="shared" ca="1" si="137"/>
        <v>0</v>
      </c>
      <c r="AA212" s="507">
        <f t="shared" ca="1" si="137"/>
        <v>0</v>
      </c>
      <c r="AB212" s="507">
        <f t="shared" ca="1" si="137"/>
        <v>0</v>
      </c>
      <c r="AC212" s="131">
        <f t="shared" ca="1" si="137"/>
        <v>1</v>
      </c>
    </row>
    <row r="213" spans="1:29">
      <c r="A213" s="297"/>
      <c r="B213" s="301"/>
      <c r="C213" s="506" t="s">
        <v>23</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23</v>
      </c>
      <c r="T213" s="506">
        <f ca="1">IF($R211="","",SUM(T211:T212))</f>
        <v>1</v>
      </c>
      <c r="U213" s="506">
        <f t="shared" ref="U213:AC213" ca="1" si="139">IF($R211="","",SUM(U211,U212))</f>
        <v>1</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1</v>
      </c>
    </row>
    <row r="214" spans="1:29">
      <c r="A214" s="297">
        <f>A211+1</f>
        <v>15</v>
      </c>
      <c r="B214" s="301" t="str">
        <f ca="1">IF(IBRF!B25="","",IBRF!B25)</f>
        <v>F14</v>
      </c>
      <c r="C214" s="131" t="s">
        <v>21</v>
      </c>
      <c r="D214" s="131" t="str">
        <f ca="1">IF(OR($E214="",$E214=0),"",SUMPRODUCT(--($C$3:$C$78=$B214),D$3:D$78))</f>
        <v/>
      </c>
      <c r="E214" s="131">
        <f ca="1">IF($B214="","",SUMPRODUCT(--(C$3:C$78=$B214)))</f>
        <v>0</v>
      </c>
      <c r="F214" s="131" t="str">
        <f ca="1">IF(OR($E214="",$E214=0),"",SUMIF($C$3:$C$62,$B214,F$3:F$62))</f>
        <v/>
      </c>
      <c r="G214" s="507" t="str">
        <f t="shared" ref="G214:M214" ca="1" si="140">IF(OR($E214="",$E214=0),"",SUMPRODUCT(--($C$3:$C$78=$B214),G$3:G$78))</f>
        <v/>
      </c>
      <c r="H214" s="507" t="str">
        <f t="shared" ca="1" si="140"/>
        <v/>
      </c>
      <c r="I214" s="491" t="str">
        <f t="shared" ca="1" si="140"/>
        <v/>
      </c>
      <c r="J214" s="507" t="str">
        <f t="shared" ca="1" si="140"/>
        <v/>
      </c>
      <c r="K214" s="507" t="str">
        <f t="shared" ca="1" si="140"/>
        <v/>
      </c>
      <c r="L214" s="507" t="str">
        <f t="shared" ca="1" si="140"/>
        <v/>
      </c>
      <c r="M214" s="131" t="str">
        <f t="shared" ca="1" si="140"/>
        <v/>
      </c>
      <c r="Q214" s="297">
        <f>Q211+1</f>
        <v>15</v>
      </c>
      <c r="R214" s="297" t="str">
        <f ca="1">IF(IBRF!H25="","",IBRF!H25)</f>
        <v>Z28</v>
      </c>
      <c r="S214" s="131" t="s">
        <v>21</v>
      </c>
      <c r="T214" s="131" t="str">
        <f ca="1">IF(OR($U214="",$U214=0),"",SUMPRODUCT(--($S$3:$S$78=$R214),T$3:T$78))</f>
        <v/>
      </c>
      <c r="U214" s="131">
        <f ca="1">IF($R214="","",SUMPRODUCT(--(S$3:S$78=$R214)))</f>
        <v>0</v>
      </c>
      <c r="V214" s="131" t="str">
        <f t="shared" ref="V214:AC214" ca="1" si="141">IF(OR($U214="",$U214=0),"",SUMPRODUCT(--($S$3:$S$78=$R214),V$3:V$78))</f>
        <v/>
      </c>
      <c r="W214" s="507" t="str">
        <f t="shared" ca="1" si="141"/>
        <v/>
      </c>
      <c r="X214" s="507" t="str">
        <f t="shared" ca="1" si="141"/>
        <v/>
      </c>
      <c r="Y214" s="491" t="str">
        <f t="shared" ca="1" si="141"/>
        <v/>
      </c>
      <c r="Z214" s="507" t="str">
        <f t="shared" ca="1" si="141"/>
        <v/>
      </c>
      <c r="AA214" s="507" t="str">
        <f t="shared" ca="1" si="141"/>
        <v/>
      </c>
      <c r="AB214" s="507" t="str">
        <f t="shared" ca="1" si="141"/>
        <v/>
      </c>
      <c r="AC214" s="131" t="str">
        <f t="shared" ca="1" si="141"/>
        <v/>
      </c>
    </row>
    <row r="215" spans="1:29">
      <c r="A215" s="297"/>
      <c r="B215" s="301"/>
      <c r="C215" s="131" t="s">
        <v>198</v>
      </c>
      <c r="D215" s="131" t="str">
        <f ca="1">IF(OR($E215="",$E215=0),"",SUMPRODUCT(--($C$88:$C$163=$B214),D$88:D$163))</f>
        <v/>
      </c>
      <c r="E215" s="131">
        <f ca="1">IF($B214="","",SUMPRODUCT(--(C$88:C$163=$B214)))</f>
        <v>0</v>
      </c>
      <c r="F215" s="131" t="str">
        <f ca="1">IF(OR($E215="",$E215=0),"",SUMIF($C$88:$C$147,$B214,F$88:F$147))</f>
        <v/>
      </c>
      <c r="G215" s="507" t="str">
        <f t="shared" ref="G215:M215" ca="1" si="142">IF(OR($E215="",$E215=0),"",SUMPRODUCT(--($C$88:$C$163=$B214),G$88:G$163))</f>
        <v/>
      </c>
      <c r="H215" s="507" t="str">
        <f t="shared" ca="1" si="142"/>
        <v/>
      </c>
      <c r="I215" s="491" t="str">
        <f t="shared" ca="1" si="142"/>
        <v/>
      </c>
      <c r="J215" s="507" t="str">
        <f t="shared" ca="1" si="142"/>
        <v/>
      </c>
      <c r="K215" s="507" t="str">
        <f t="shared" ca="1" si="142"/>
        <v/>
      </c>
      <c r="L215" s="507" t="str">
        <f t="shared" ca="1" si="142"/>
        <v/>
      </c>
      <c r="M215" s="131" t="str">
        <f t="shared" ca="1" si="142"/>
        <v/>
      </c>
      <c r="Q215" s="297"/>
      <c r="R215" s="297"/>
      <c r="S215" s="131" t="s">
        <v>198</v>
      </c>
      <c r="T215" s="131" t="str">
        <f ca="1">IF(OR($U215="",$U215=0),"",SUMPRODUCT(--($S$88:$S$163=$R214),T$88:T$163))</f>
        <v/>
      </c>
      <c r="U215" s="131">
        <f ca="1">IF($R214="","",SUMPRODUCT(--(S$88:S$163=$R214)))</f>
        <v>0</v>
      </c>
      <c r="V215" s="131" t="str">
        <f t="shared" ref="V215:AC215" ca="1" si="143">IF(OR($U215="",$U215=0),"",SUMPRODUCT(--($S$88:$S$163=$R214),V$88:V$163))</f>
        <v/>
      </c>
      <c r="W215" s="507" t="str">
        <f t="shared" ca="1" si="143"/>
        <v/>
      </c>
      <c r="X215" s="507" t="str">
        <f t="shared" ca="1" si="143"/>
        <v/>
      </c>
      <c r="Y215" s="491" t="str">
        <f t="shared" ca="1" si="143"/>
        <v/>
      </c>
      <c r="Z215" s="507" t="str">
        <f t="shared" ca="1" si="143"/>
        <v/>
      </c>
      <c r="AA215" s="507" t="str">
        <f t="shared" ca="1" si="143"/>
        <v/>
      </c>
      <c r="AB215" s="507" t="str">
        <f t="shared" ca="1" si="143"/>
        <v/>
      </c>
      <c r="AC215" s="131" t="str">
        <f t="shared" ca="1" si="143"/>
        <v/>
      </c>
    </row>
    <row r="216" spans="1:29">
      <c r="A216" s="297"/>
      <c r="B216" s="301"/>
      <c r="C216" s="506" t="s">
        <v>23</v>
      </c>
      <c r="D216" s="506">
        <f ca="1">IF($B214="","",SUM(D214:D215))</f>
        <v>0</v>
      </c>
      <c r="E216" s="506">
        <f ca="1">IF($B214="","",SUM(E214:E215))</f>
        <v>0</v>
      </c>
      <c r="F216" s="506">
        <f ca="1">IF($B214="","",SUM(F214:F215))</f>
        <v>0</v>
      </c>
      <c r="G216" s="495">
        <f t="shared" ref="G216:L216" ca="1" si="144">IF($B214="","",SUM(G214,G215))</f>
        <v>0</v>
      </c>
      <c r="H216" s="495">
        <f t="shared" ca="1" si="144"/>
        <v>0</v>
      </c>
      <c r="I216" s="498">
        <f t="shared" ca="1" si="144"/>
        <v>0</v>
      </c>
      <c r="J216" s="495">
        <f t="shared" ca="1" si="144"/>
        <v>0</v>
      </c>
      <c r="K216" s="495">
        <f t="shared" ca="1" si="144"/>
        <v>0</v>
      </c>
      <c r="L216" s="495">
        <f t="shared" ca="1" si="144"/>
        <v>0</v>
      </c>
      <c r="M216" s="506">
        <f ca="1">IF($B214="","",SUM(M214:M215))</f>
        <v>0</v>
      </c>
      <c r="Q216" s="297"/>
      <c r="R216" s="297"/>
      <c r="S216" s="506" t="s">
        <v>23</v>
      </c>
      <c r="T216" s="506">
        <f ca="1">IF($R214="","",SUM(T214:T215))</f>
        <v>0</v>
      </c>
      <c r="U216" s="506">
        <f t="shared" ref="U216:AC216" ca="1" si="145">IF($R214="","",SUM(U214,U215))</f>
        <v>0</v>
      </c>
      <c r="V216" s="506">
        <f t="shared" ca="1" si="145"/>
        <v>0</v>
      </c>
      <c r="W216" s="495">
        <f t="shared" ca="1" si="145"/>
        <v>0</v>
      </c>
      <c r="X216" s="495">
        <f t="shared" ca="1" si="145"/>
        <v>0</v>
      </c>
      <c r="Y216" s="498">
        <f t="shared" ca="1" si="145"/>
        <v>0</v>
      </c>
      <c r="Z216" s="495">
        <f t="shared" ca="1" si="145"/>
        <v>0</v>
      </c>
      <c r="AA216" s="495">
        <f t="shared" ca="1" si="145"/>
        <v>0</v>
      </c>
      <c r="AB216" s="495">
        <f t="shared" ca="1" si="145"/>
        <v>0</v>
      </c>
      <c r="AC216" s="506">
        <f t="shared" ca="1" si="145"/>
        <v>0</v>
      </c>
    </row>
    <row r="217" spans="1:29">
      <c r="A217" s="297">
        <f>A214+1</f>
        <v>16</v>
      </c>
      <c r="B217" s="301" t="str">
        <f ca="1">IF(IBRF!B26="","",IBRF!B26)</f>
        <v/>
      </c>
      <c r="C217" s="131" t="s">
        <v>21</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21</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198</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198</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23</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23</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21</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21</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198</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198</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23</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23</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21</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21</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198</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198</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23</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23</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21</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21</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198</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198</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23</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23</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21</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21</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198</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198</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23</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23</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40" t="s">
        <v>201</v>
      </c>
      <c r="F1" s="1341"/>
      <c r="G1" s="303"/>
      <c r="H1" s="303"/>
      <c r="I1" s="303"/>
      <c r="J1" s="303"/>
      <c r="K1" s="303"/>
      <c r="L1" s="303"/>
      <c r="M1" s="303"/>
      <c r="N1" s="303"/>
      <c r="O1" s="303"/>
      <c r="P1" s="303"/>
      <c r="Q1" s="303"/>
      <c r="R1" s="303"/>
      <c r="S1" s="303"/>
      <c r="T1" s="303"/>
      <c r="U1" s="303"/>
      <c r="V1" s="1336" t="s">
        <v>654</v>
      </c>
      <c r="W1" s="1332" t="s">
        <v>341</v>
      </c>
      <c r="X1" s="1332"/>
      <c r="Y1" s="1332"/>
      <c r="Z1" s="1332"/>
      <c r="AA1" s="1332"/>
      <c r="AB1" s="1332"/>
      <c r="AC1" s="1332"/>
      <c r="AD1" s="1332"/>
      <c r="AE1" s="1332"/>
      <c r="AF1" s="1332"/>
      <c r="AG1" s="1332"/>
      <c r="AH1" s="1332"/>
      <c r="AI1" s="1332"/>
      <c r="AJ1" s="1332"/>
      <c r="AK1" s="20"/>
      <c r="AL1" s="20"/>
      <c r="AM1" s="20"/>
      <c r="AN1" s="20"/>
      <c r="AO1" s="20"/>
      <c r="AP1" s="20"/>
      <c r="AQ1" s="20"/>
      <c r="AR1" s="20"/>
      <c r="AS1" s="20"/>
      <c r="AT1" s="20"/>
      <c r="AU1" s="20"/>
      <c r="AV1" s="20"/>
      <c r="AW1" s="20"/>
      <c r="AX1" s="20"/>
    </row>
    <row r="2" spans="1:50" ht="12.75" customHeight="1" thickBot="1">
      <c r="A2" s="466" t="s">
        <v>22</v>
      </c>
      <c r="B2" s="466" t="s">
        <v>202</v>
      </c>
      <c r="C2" s="466" t="s">
        <v>203</v>
      </c>
      <c r="D2" s="466"/>
      <c r="E2" s="466" t="s">
        <v>527</v>
      </c>
      <c r="F2" s="466" t="s">
        <v>376</v>
      </c>
      <c r="G2" s="466" t="s">
        <v>461</v>
      </c>
      <c r="H2" s="466" t="s">
        <v>372</v>
      </c>
      <c r="I2" s="466" t="s">
        <v>374</v>
      </c>
      <c r="J2" s="466" t="s">
        <v>529</v>
      </c>
      <c r="K2" s="466" t="s">
        <v>463</v>
      </c>
      <c r="L2" s="466" t="s">
        <v>368</v>
      </c>
      <c r="M2" s="466" t="s">
        <v>533</v>
      </c>
      <c r="N2" s="466" t="s">
        <v>370</v>
      </c>
      <c r="O2" s="466" t="s">
        <v>531</v>
      </c>
      <c r="P2" s="466" t="s">
        <v>243</v>
      </c>
      <c r="Q2" s="466" t="s">
        <v>378</v>
      </c>
      <c r="R2" s="466" t="s">
        <v>246</v>
      </c>
      <c r="S2" s="466" t="s">
        <v>517</v>
      </c>
      <c r="T2" s="466" t="s">
        <v>248</v>
      </c>
      <c r="U2" s="467" t="s">
        <v>23</v>
      </c>
      <c r="V2" s="1336"/>
      <c r="W2" s="473" t="s">
        <v>182</v>
      </c>
      <c r="X2" s="473" t="s">
        <v>527</v>
      </c>
      <c r="Y2" s="473" t="s">
        <v>376</v>
      </c>
      <c r="Z2" s="473" t="s">
        <v>461</v>
      </c>
      <c r="AA2" s="473" t="s">
        <v>372</v>
      </c>
      <c r="AB2" s="473" t="s">
        <v>374</v>
      </c>
      <c r="AC2" s="473" t="s">
        <v>529</v>
      </c>
      <c r="AD2" s="473" t="s">
        <v>463</v>
      </c>
      <c r="AE2" s="473" t="s">
        <v>368</v>
      </c>
      <c r="AF2" s="473" t="s">
        <v>533</v>
      </c>
      <c r="AG2" s="473" t="s">
        <v>370</v>
      </c>
      <c r="AH2" s="473" t="s">
        <v>246</v>
      </c>
      <c r="AI2" s="473" t="s">
        <v>248</v>
      </c>
      <c r="AJ2" s="473"/>
    </row>
    <row r="3" spans="1:50">
      <c r="A3" s="1337">
        <v>1</v>
      </c>
      <c r="B3" s="1338" t="str">
        <f ca="1">IF(IBRF!B11="","",IBRF!B11)</f>
        <v>138</v>
      </c>
      <c r="C3" s="1339" t="str">
        <f ca="1">IF(IBRF!C11="","",IBRF!C11)</f>
        <v>Mag Pie</v>
      </c>
      <c r="D3" s="94" t="s">
        <v>21</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37"/>
      <c r="B4" s="1338"/>
      <c r="C4" s="1339"/>
      <c r="D4" s="94" t="s">
        <v>198</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0</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0</v>
      </c>
      <c r="V4" s="483">
        <f ca="1">IF(B3="","",SUM(E4:T4))</f>
        <v>0</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33">
        <f>A3+1</f>
        <v>2</v>
      </c>
      <c r="B5" s="1334" t="str">
        <f ca="1">IF(IBRF!B12="","",IBRF!B12)</f>
        <v>181</v>
      </c>
      <c r="C5" s="1335" t="str">
        <f ca="1">IF(IBRF!C12="","",IBRF!C12)</f>
        <v>Vega Vendetta</v>
      </c>
      <c r="D5" s="461" t="s">
        <v>21</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33"/>
      <c r="B6" s="1334"/>
      <c r="C6" s="1335"/>
      <c r="D6" s="461" t="s">
        <v>198</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1</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1</v>
      </c>
      <c r="V6" s="484">
        <f ca="1">IF(B5="","",SUM(E6:T6))</f>
        <v>1</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37">
        <f>A5+1</f>
        <v>3</v>
      </c>
      <c r="B7" s="1338" t="str">
        <f ca="1">IF(IBRF!B13="","",IBRF!B13)</f>
        <v>1821</v>
      </c>
      <c r="C7" s="1339" t="str">
        <f ca="1">IF(IBRF!C13="","",IBRF!C13)</f>
        <v>Mexi-Go</v>
      </c>
      <c r="D7" s="94" t="s">
        <v>21</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0</v>
      </c>
      <c r="V7" s="483">
        <f ca="1">IF(B7="","",SUM(E7:T7))</f>
        <v>0</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37"/>
      <c r="B8" s="1338"/>
      <c r="C8" s="1339"/>
      <c r="D8" s="94" t="s">
        <v>198</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0</v>
      </c>
      <c r="V8" s="483">
        <f ca="1">IF(B7="","",SUM(E8:T8))</f>
        <v>0</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33">
        <f>A7+1</f>
        <v>4</v>
      </c>
      <c r="B9" s="1334" t="str">
        <f ca="1">IF(IBRF!B14="","",IBRF!B14)</f>
        <v>187</v>
      </c>
      <c r="C9" s="1335" t="str">
        <f ca="1">IF(IBRF!C14="","",IBRF!C14)</f>
        <v>VeroniKILL</v>
      </c>
      <c r="D9" s="461" t="s">
        <v>21</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33"/>
      <c r="B10" s="1334"/>
      <c r="C10" s="1335"/>
      <c r="D10" s="461" t="s">
        <v>198</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37">
        <f>A9+1</f>
        <v>5</v>
      </c>
      <c r="B11" s="1338" t="str">
        <f ca="1">IF(IBRF!B15="","",IBRF!B15)</f>
        <v>1879</v>
      </c>
      <c r="C11" s="1339" t="str">
        <f ca="1">IF(IBRF!C15="","",IBRF!C15)</f>
        <v>Belle Isle Hurtya</v>
      </c>
      <c r="D11" s="94" t="s">
        <v>21</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1</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1</v>
      </c>
      <c r="V11" s="483">
        <f ca="1">IF(B11="","",SUM(E11:T11))</f>
        <v>1</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37"/>
      <c r="B12" s="1338"/>
      <c r="C12" s="1339"/>
      <c r="D12" s="94" t="s">
        <v>198</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0</v>
      </c>
      <c r="V12" s="483">
        <f ca="1">IF(B11="","",SUM(E12:T12))</f>
        <v>0</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33">
        <f>A11+1</f>
        <v>6</v>
      </c>
      <c r="B13" s="1334" t="str">
        <f ca="1">IF(IBRF!B16="","",IBRF!B16)</f>
        <v>20</v>
      </c>
      <c r="C13" s="1335" t="str">
        <f ca="1">IF(IBRF!C16="","",IBRF!C16)</f>
        <v>Devil Kitty</v>
      </c>
      <c r="D13" s="461" t="s">
        <v>21</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0</v>
      </c>
      <c r="V13" s="484">
        <f ca="1">IF(B13="","",SUM(E13:T13))</f>
        <v>0</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33"/>
      <c r="B14" s="1334"/>
      <c r="C14" s="1335"/>
      <c r="D14" s="461" t="s">
        <v>198</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0</v>
      </c>
      <c r="V14" s="484">
        <f ca="1">IF(B13="","",SUM(E14:T14))</f>
        <v>0</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37">
        <f>A13+1</f>
        <v>7</v>
      </c>
      <c r="B15" s="1338" t="str">
        <f ca="1">IF(IBRF!B17="","",IBRF!B17)</f>
        <v>20KN</v>
      </c>
      <c r="C15" s="1339" t="str">
        <f ca="1">IF(IBRF!C17="","",IBRF!C17)</f>
        <v>Kraken Whips</v>
      </c>
      <c r="D15" s="94" t="s">
        <v>21</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1</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1</v>
      </c>
      <c r="V15" s="483">
        <f ca="1">IF(B15="","",SUM(E15:T15))</f>
        <v>1</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37"/>
      <c r="B16" s="1338"/>
      <c r="C16" s="1339"/>
      <c r="D16" s="94" t="s">
        <v>198</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0</v>
      </c>
      <c r="V16" s="483">
        <f ca="1">IF(B15="","",SUM(E16:T16))</f>
        <v>0</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33">
        <f>A15+1</f>
        <v>8</v>
      </c>
      <c r="B17" s="1334" t="str">
        <f ca="1">IF(IBRF!B18="","",IBRF!B18)</f>
        <v>212</v>
      </c>
      <c r="C17" s="1335" t="str">
        <f ca="1">IF(IBRF!C18="","",IBRF!C18)</f>
        <v>Wham!tramck</v>
      </c>
      <c r="D17" s="461" t="s">
        <v>21</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33"/>
      <c r="B18" s="1334"/>
      <c r="C18" s="1335"/>
      <c r="D18" s="461" t="s">
        <v>198</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0</v>
      </c>
      <c r="V18" s="484">
        <f ca="1">IF(B17="","",SUM(E18:T18))</f>
        <v>0</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37">
        <f>A17+1</f>
        <v>9</v>
      </c>
      <c r="B19" s="1338" t="str">
        <f ca="1">IF(IBRF!B19="","",IBRF!B19)</f>
        <v>33 1/3</v>
      </c>
      <c r="C19" s="1339" t="str">
        <f ca="1">IF(IBRF!C19="","",IBRF!C19)</f>
        <v>Cookie Rumble</v>
      </c>
      <c r="D19" s="94" t="s">
        <v>21</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0</v>
      </c>
      <c r="O19" s="302">
        <f ca="1">IF($B19="","",COUNTIF(Penalties!$B20:$H20,O$2))</f>
        <v>1</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1</v>
      </c>
      <c r="V19" s="483">
        <f ca="1">IF(B19="","",SUM(E19:T19))</f>
        <v>1</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37"/>
      <c r="B20" s="1338"/>
      <c r="C20" s="1339"/>
      <c r="D20" s="94" t="s">
        <v>198</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1</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1</v>
      </c>
      <c r="V20" s="483">
        <f ca="1">IF(B19="","",SUM(E20:T20))</f>
        <v>1</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33">
        <f>A19+1</f>
        <v>10</v>
      </c>
      <c r="B21" s="1334" t="str">
        <f ca="1">IF(IBRF!B20="","",IBRF!B20)</f>
        <v>428</v>
      </c>
      <c r="C21" s="1335" t="str">
        <f ca="1">IF(IBRF!C20="","",IBRF!C20)</f>
        <v>Freakin' Rican</v>
      </c>
      <c r="D21" s="461" t="s">
        <v>21</v>
      </c>
      <c r="E21" s="461">
        <f ca="1">IF($B21="","",COUNTIF(Penalties!$B22:$H22,E$2))</f>
        <v>0</v>
      </c>
      <c r="F21" s="461">
        <f ca="1">IF($B21="","",COUNTIF(Penalties!$B22:$H22,F$2))</f>
        <v>0</v>
      </c>
      <c r="G21" s="461">
        <f ca="1">IF($B21="","",COUNTIF(Penalties!$B22:$H22,G$2))</f>
        <v>0</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0</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0</v>
      </c>
      <c r="V21" s="484">
        <f ca="1">IF(B21="","",SUM(E21:T21))</f>
        <v>0</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33"/>
      <c r="B22" s="1334"/>
      <c r="C22" s="1335"/>
      <c r="D22" s="461" t="s">
        <v>198</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1</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1</v>
      </c>
      <c r="V22" s="484">
        <f ca="1">IF(B21="","",SUM(E22:T22))</f>
        <v>1</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37">
        <f>A21+1</f>
        <v>11</v>
      </c>
      <c r="B23" s="1338" t="str">
        <f ca="1">IF(IBRF!B21="","",IBRF!B21)</f>
        <v>6</v>
      </c>
      <c r="C23" s="1339" t="str">
        <f ca="1">IF(IBRF!C21="","",IBRF!C21)</f>
        <v>Elle McFearsome</v>
      </c>
      <c r="D23" s="94" t="s">
        <v>21</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1</v>
      </c>
      <c r="P23" s="302">
        <f ca="1">IF($B23="","",COUNTIF(Penalties!$B24:$H24,P$2))</f>
        <v>0</v>
      </c>
      <c r="Q23" s="302">
        <f ca="1">IF($B23="","",COUNTIF(Penalties!$B24:$H24,Q$2))</f>
        <v>1</v>
      </c>
      <c r="R23" s="302">
        <f ca="1">IF($B23="","",COUNTIF(Penalties!$B24:$H24,R$2))</f>
        <v>0</v>
      </c>
      <c r="S23" s="302">
        <f ca="1">IF($B23="","",COUNTIF(Penalties!$B24:$H24,S$2))</f>
        <v>0</v>
      </c>
      <c r="T23" s="302">
        <f ca="1">IF($B23="","",COUNTIF(Penalties!$B24:$H24,T$2))</f>
        <v>0</v>
      </c>
      <c r="U23" s="474">
        <f ca="1">IF(B23="","",SUM(E23:T23))</f>
        <v>2</v>
      </c>
      <c r="V23" s="483">
        <f ca="1">IF(B23="","",SUM(E23:T23))</f>
        <v>2</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37"/>
      <c r="B24" s="1338"/>
      <c r="C24" s="1339"/>
      <c r="D24" s="94" t="s">
        <v>198</v>
      </c>
      <c r="E24" s="302">
        <f ca="1">IF($B23="","",COUNTIF(Penalties!$Z24:$AF24,E$2))</f>
        <v>0</v>
      </c>
      <c r="F24" s="302">
        <f ca="1">IF($B23="","",COUNTIF(Penalties!$Z24:$AF24,F$2))</f>
        <v>0</v>
      </c>
      <c r="G24" s="302">
        <f ca="1">IF($B23="","",COUNTIF(Penalties!$Z24:$AF24,G$2))</f>
        <v>1</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1</v>
      </c>
      <c r="V24" s="483">
        <f ca="1">IF(B23="","",SUM(E24:T24))</f>
        <v>1</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33">
        <f>A23+1</f>
        <v>12</v>
      </c>
      <c r="B25" s="1334" t="str">
        <f ca="1">IF(IBRF!B22="","",IBRF!B22)</f>
        <v>728</v>
      </c>
      <c r="C25" s="1335" t="str">
        <f ca="1">IF(IBRF!C22="","",IBRF!C22)</f>
        <v>Combat Cat</v>
      </c>
      <c r="D25" s="461" t="s">
        <v>21</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0</v>
      </c>
      <c r="V25" s="484">
        <f ca="1">IF(B25="","",SUM(E25:T25))</f>
        <v>0</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33"/>
      <c r="B26" s="1334"/>
      <c r="C26" s="1335"/>
      <c r="D26" s="461" t="s">
        <v>198</v>
      </c>
      <c r="E26" s="461">
        <f ca="1">IF($B25="","",COUNTIF(Penalties!$Z26:$AF26,E$2))</f>
        <v>0</v>
      </c>
      <c r="F26" s="461">
        <f ca="1">IF($B25="","",COUNTIF(Penalties!$Z26:$AF26,F$2))</f>
        <v>0</v>
      </c>
      <c r="G26" s="461">
        <f ca="1">IF($B25="","",COUNTIF(Penalties!$Z26:$AF26,G$2))</f>
        <v>0</v>
      </c>
      <c r="H26" s="461">
        <f ca="1">IF($B25="","",COUNTIF(Penalties!$Z26:$AF26,H$2))</f>
        <v>0</v>
      </c>
      <c r="I26" s="461">
        <f ca="1">IF($B25="","",COUNTIF(Penalties!$Z26:$AF26,I$2))</f>
        <v>1</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2</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3</v>
      </c>
      <c r="V26" s="484">
        <f ca="1">IF(B25="","",SUM(E26:T26))</f>
        <v>3</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37">
        <f>A25+1</f>
        <v>13</v>
      </c>
      <c r="B27" s="1338" t="str">
        <f ca="1">IF(IBRF!B23="","",IBRF!B23)</f>
        <v>80</v>
      </c>
      <c r="C27" s="1339" t="str">
        <f ca="1">IF(IBRF!C23="","",IBRF!C23)</f>
        <v>Mean Streak</v>
      </c>
      <c r="D27" s="94" t="s">
        <v>21</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37"/>
      <c r="B28" s="1338"/>
      <c r="C28" s="1339"/>
      <c r="D28" s="94" t="s">
        <v>198</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0</v>
      </c>
      <c r="V28" s="483">
        <f ca="1">IF(B27="","",SUM(E28:T28))</f>
        <v>0</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33">
        <f>A27+1</f>
        <v>14</v>
      </c>
      <c r="B29" s="1334" t="str">
        <f ca="1">IF(IBRF!B24="","",IBRF!B24)</f>
        <v>9.99</v>
      </c>
      <c r="C29" s="1335" t="str">
        <f ca="1">IF(IBRF!C24="","",IBRF!C24)</f>
        <v>U.S.S. DentHerPrize</v>
      </c>
      <c r="D29" s="461" t="s">
        <v>21</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0</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0</v>
      </c>
      <c r="V29" s="484">
        <f ca="1">IF(B29="","",SUM(E29:T29))</f>
        <v>0</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33"/>
      <c r="B30" s="1334"/>
      <c r="C30" s="1335"/>
      <c r="D30" s="461" t="s">
        <v>198</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37">
        <f>A29+1</f>
        <v>15</v>
      </c>
      <c r="B31" s="1338" t="str">
        <f ca="1">IF(IBRF!B25="","",IBRF!B25)</f>
        <v>F14</v>
      </c>
      <c r="C31" s="1339" t="str">
        <f ca="1">IF(IBRF!C25="","",IBRF!C25)</f>
        <v>Apertorture</v>
      </c>
      <c r="D31" s="94" t="s">
        <v>21</v>
      </c>
      <c r="E31" s="302">
        <f ca="1">IF($B31="","",COUNTIF(Penalties!$B32:$H32,E$2))</f>
        <v>0</v>
      </c>
      <c r="F31" s="302">
        <f ca="1">IF($B31="","",COUNTIF(Penalties!$B32:$H32,F$2))</f>
        <v>0</v>
      </c>
      <c r="G31" s="302">
        <f ca="1">IF($B31="","",COUNTIF(Penalties!$B32:$H32,G$2))</f>
        <v>0</v>
      </c>
      <c r="H31" s="302">
        <f ca="1">IF($B31="","",COUNTIF(Penalties!$B32:$H32,H$2))</f>
        <v>0</v>
      </c>
      <c r="I31" s="302">
        <f ca="1">IF($B31="","",COUNTIF(Penalties!$B32:$H32,I$2))</f>
        <v>0</v>
      </c>
      <c r="J31" s="302">
        <f ca="1">IF($B31="","",COUNTIF(Penalties!$B32:$H32,J$2))</f>
        <v>0</v>
      </c>
      <c r="K31" s="302">
        <f ca="1">IF($B31="","",COUNTIF(Penalties!$B32:$H32,K$2))</f>
        <v>0</v>
      </c>
      <c r="L31" s="302">
        <f ca="1">IF($B31="","",COUNTIF(Penalties!$B32:$H32,L$2))</f>
        <v>0</v>
      </c>
      <c r="M31" s="302">
        <f ca="1">IF($B31="","",COUNTIF(Penalties!$B32:$H32,M$2))</f>
        <v>0</v>
      </c>
      <c r="N31" s="302">
        <f ca="1">IF($B31="","",COUNTIF(Penalties!$B32:$H32,N$2))</f>
        <v>0</v>
      </c>
      <c r="O31" s="302">
        <f ca="1">IF($B31="","",COUNTIF(Penalties!$B32:$H32,O$2))</f>
        <v>0</v>
      </c>
      <c r="P31" s="302">
        <f ca="1">IF($B31="","",COUNTIF(Penalties!$B32:$H32,P$2))</f>
        <v>0</v>
      </c>
      <c r="Q31" s="302">
        <f ca="1">IF($B31="","",COUNTIF(Penalties!$B32:$H32,Q$2))</f>
        <v>0</v>
      </c>
      <c r="R31" s="302">
        <f ca="1">IF($B31="","",COUNTIF(Penalties!$B32:$H32,R$2))</f>
        <v>0</v>
      </c>
      <c r="S31" s="302">
        <f ca="1">IF($B31="","",COUNTIF(Penalties!$B32:$H32,S$2))</f>
        <v>0</v>
      </c>
      <c r="T31" s="302">
        <f ca="1">IF($B31="","",COUNTIF(Penalties!$B32:$H32,T$2))</f>
        <v>0</v>
      </c>
      <c r="U31" s="474">
        <f ca="1">IF(B31="","",SUM(E31:T31))</f>
        <v>0</v>
      </c>
      <c r="V31" s="483">
        <f ca="1">IF(B31="","",SUM(E31:T31))</f>
        <v>0</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37"/>
      <c r="B32" s="1338"/>
      <c r="C32" s="1339"/>
      <c r="D32" s="94" t="s">
        <v>198</v>
      </c>
      <c r="E32" s="302">
        <f ca="1">IF($B31="","",COUNTIF(Penalties!$Z32:$AF32,E$2))</f>
        <v>0</v>
      </c>
      <c r="F32" s="302">
        <f ca="1">IF($B31="","",COUNTIF(Penalties!$Z32:$AF32,F$2))</f>
        <v>0</v>
      </c>
      <c r="G32" s="302">
        <f ca="1">IF($B31="","",COUNTIF(Penalties!$Z32:$AF32,G$2))</f>
        <v>0</v>
      </c>
      <c r="H32" s="302">
        <f ca="1">IF($B31="","",COUNTIF(Penalties!$Z32:$AF32,H$2))</f>
        <v>0</v>
      </c>
      <c r="I32" s="302">
        <f ca="1">IF($B31="","",COUNTIF(Penalties!$Z32:$AF32,I$2))</f>
        <v>0</v>
      </c>
      <c r="J32" s="302">
        <f ca="1">IF($B31="","",COUNTIF(Penalties!$Z32:$AF32,J$2))</f>
        <v>0</v>
      </c>
      <c r="K32" s="302">
        <f ca="1">IF($B31="","",COUNTIF(Penalties!$Z32:$AF32,K$2))</f>
        <v>0</v>
      </c>
      <c r="L32" s="302">
        <f ca="1">IF($B31="","",COUNTIF(Penalties!$Z32:$AF32,L$2))</f>
        <v>0</v>
      </c>
      <c r="M32" s="302">
        <f ca="1">IF($B31="","",COUNTIF(Penalties!$Z32:$AF32,M$2))</f>
        <v>0</v>
      </c>
      <c r="N32" s="302">
        <f ca="1">IF($B31="","",COUNTIF(Penalties!$Z32:$AF32,N$2))</f>
        <v>0</v>
      </c>
      <c r="O32" s="302">
        <f ca="1">IF($B31="","",COUNTIF(Penalties!$Z32:$AF32,O$2))</f>
        <v>0</v>
      </c>
      <c r="P32" s="302">
        <f ca="1">IF($B31="","",COUNTIF(Penalties!$Z32:$AF32,P$2))</f>
        <v>0</v>
      </c>
      <c r="Q32" s="302">
        <f ca="1">IF($B31="","",COUNTIF(Penalties!$Z32:$AF32,Q$2))</f>
        <v>0</v>
      </c>
      <c r="R32" s="302">
        <f ca="1">IF($B31="","",COUNTIF(Penalties!$Z32:$AF32,R$2))</f>
        <v>0</v>
      </c>
      <c r="S32" s="302">
        <f ca="1">IF($B31="","",COUNTIF(Penalties!$Z32:$AF32,S$2))</f>
        <v>0</v>
      </c>
      <c r="T32" s="302">
        <f ca="1">IF($B31="","",COUNTIF(Penalties!$Z32:$AF32,T$2))</f>
        <v>0</v>
      </c>
      <c r="U32" s="474">
        <f ca="1">IF(B31="","",SUM(E32:T32))</f>
        <v>0</v>
      </c>
      <c r="V32" s="483">
        <f ca="1">IF(B31="","",SUM(E32:T32))</f>
        <v>0</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33">
        <f>A31+1</f>
        <v>16</v>
      </c>
      <c r="B33" s="1334" t="str">
        <f ca="1">IF(IBRF!B26="","",IBRF!B26)</f>
        <v/>
      </c>
      <c r="C33" s="1335" t="str">
        <f ca="1">IF(IBRF!C26="","",IBRF!C26)</f>
        <v/>
      </c>
      <c r="D33" s="461" t="s">
        <v>21</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33"/>
      <c r="B34" s="1334"/>
      <c r="C34" s="1335"/>
      <c r="D34" s="461" t="s">
        <v>198</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37">
        <f>A33+1</f>
        <v>17</v>
      </c>
      <c r="B35" s="1338" t="str">
        <f ca="1">IF(IBRF!B27="","",IBRF!B27)</f>
        <v/>
      </c>
      <c r="C35" s="1339" t="str">
        <f ca="1">IF(IBRF!C27="","",IBRF!C27)</f>
        <v/>
      </c>
      <c r="D35" s="94" t="s">
        <v>21</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37"/>
      <c r="B36" s="1338"/>
      <c r="C36" s="1339"/>
      <c r="D36" s="94" t="s">
        <v>198</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33">
        <f>A35+1</f>
        <v>18</v>
      </c>
      <c r="B37" s="1334" t="str">
        <f ca="1">IF(IBRF!B28="","",IBRF!B28)</f>
        <v/>
      </c>
      <c r="C37" s="1335" t="str">
        <f ca="1">IF(IBRF!C28="","",IBRF!C28)</f>
        <v/>
      </c>
      <c r="D37" s="461" t="s">
        <v>21</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33"/>
      <c r="B38" s="1334"/>
      <c r="C38" s="1335"/>
      <c r="D38" s="461" t="s">
        <v>198</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37">
        <f>A37+1</f>
        <v>19</v>
      </c>
      <c r="B39" s="1338" t="str">
        <f ca="1">IF(IBRF!B29="","",IBRF!B29)</f>
        <v/>
      </c>
      <c r="C39" s="1339" t="str">
        <f ca="1">IF(IBRF!C29="","",IBRF!C29)</f>
        <v/>
      </c>
      <c r="D39" s="94" t="s">
        <v>21</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37"/>
      <c r="B40" s="1338"/>
      <c r="C40" s="1339"/>
      <c r="D40" s="94" t="s">
        <v>198</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33">
        <f>A39+1</f>
        <v>20</v>
      </c>
      <c r="B41" s="1334" t="str">
        <f ca="1">IF(IBRF!B30="","",IBRF!B30)</f>
        <v/>
      </c>
      <c r="C41" s="1335" t="str">
        <f ca="1">IF(IBRF!C30="","",IBRF!C30)</f>
        <v/>
      </c>
      <c r="D41" s="461" t="s">
        <v>21</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33"/>
      <c r="B42" s="1334"/>
      <c r="C42" s="1335"/>
      <c r="D42" s="461" t="s">
        <v>198</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42" t="s">
        <v>22</v>
      </c>
      <c r="B43" s="1342"/>
      <c r="C43" s="1342" t="s">
        <v>204</v>
      </c>
      <c r="D43" s="304" t="s">
        <v>21</v>
      </c>
      <c r="E43" s="304">
        <f t="shared" ref="E43:AI43" si="0">SUM(E3,E5,E7,E9,E11,E13,E15,E17,E19,E21,E23,E25,E27,E29,E31,E33,E35,E37,E39,E41)</f>
        <v>0</v>
      </c>
      <c r="F43" s="304">
        <f t="shared" si="0"/>
        <v>0</v>
      </c>
      <c r="G43" s="304">
        <f t="shared" si="0"/>
        <v>0</v>
      </c>
      <c r="H43" s="304">
        <f t="shared" si="0"/>
        <v>0</v>
      </c>
      <c r="I43" s="304">
        <f t="shared" si="0"/>
        <v>0</v>
      </c>
      <c r="J43" s="304">
        <f t="shared" si="0"/>
        <v>0</v>
      </c>
      <c r="K43" s="304">
        <f t="shared" si="0"/>
        <v>0</v>
      </c>
      <c r="L43" s="304">
        <f t="shared" si="0"/>
        <v>0</v>
      </c>
      <c r="M43" s="304">
        <f t="shared" si="0"/>
        <v>0</v>
      </c>
      <c r="N43" s="304">
        <f t="shared" si="0"/>
        <v>2</v>
      </c>
      <c r="O43" s="304">
        <f t="shared" si="0"/>
        <v>3</v>
      </c>
      <c r="P43" s="304">
        <f t="shared" si="0"/>
        <v>0</v>
      </c>
      <c r="Q43" s="304">
        <f t="shared" si="0"/>
        <v>1</v>
      </c>
      <c r="R43" s="304">
        <f>SUM(R3,R5,R7,R9,R11,R13,R15,R17,R19,R21,R23,R25,R27,R29,R31,R33,R35,R37,R39,R41)</f>
        <v>0</v>
      </c>
      <c r="S43" s="304">
        <f t="shared" si="0"/>
        <v>0</v>
      </c>
      <c r="T43" s="304">
        <f t="shared" si="0"/>
        <v>0</v>
      </c>
      <c r="U43" s="467">
        <f t="shared" si="0"/>
        <v>6</v>
      </c>
      <c r="V43" s="485">
        <f t="shared" si="0"/>
        <v>6</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42"/>
      <c r="B44" s="1342"/>
      <c r="C44" s="1342"/>
      <c r="D44" s="304" t="s">
        <v>198</v>
      </c>
      <c r="E44" s="304">
        <f t="shared" ref="E44:AI44" si="2">SUM(E4,E6,E8,E10,E12,E14,E16,E18,E20,E22,E24,E26,E28,E30,E32,E34,E36,E38,E40,E42)</f>
        <v>0</v>
      </c>
      <c r="F44" s="304">
        <f t="shared" si="2"/>
        <v>0</v>
      </c>
      <c r="G44" s="304">
        <f t="shared" si="2"/>
        <v>1</v>
      </c>
      <c r="H44" s="304">
        <f t="shared" si="2"/>
        <v>0</v>
      </c>
      <c r="I44" s="304">
        <f t="shared" si="2"/>
        <v>1</v>
      </c>
      <c r="J44" s="304">
        <f t="shared" si="2"/>
        <v>0</v>
      </c>
      <c r="K44" s="304">
        <f t="shared" si="2"/>
        <v>0</v>
      </c>
      <c r="L44" s="304">
        <f t="shared" si="2"/>
        <v>0</v>
      </c>
      <c r="M44" s="304">
        <f t="shared" si="2"/>
        <v>1</v>
      </c>
      <c r="N44" s="304">
        <f t="shared" si="2"/>
        <v>1</v>
      </c>
      <c r="O44" s="304">
        <f t="shared" si="2"/>
        <v>3</v>
      </c>
      <c r="P44" s="304">
        <f t="shared" si="2"/>
        <v>0</v>
      </c>
      <c r="Q44" s="304">
        <f t="shared" si="2"/>
        <v>0</v>
      </c>
      <c r="R44" s="304">
        <f>SUM(R4,R6,R8,R10,R12,R14,R16,R18,R20,R22,R24,R26,R28,R30,R32,R34,R36,R38,R40,R42)</f>
        <v>0</v>
      </c>
      <c r="S44" s="304">
        <f t="shared" si="2"/>
        <v>0</v>
      </c>
      <c r="T44" s="304">
        <f t="shared" si="2"/>
        <v>0</v>
      </c>
      <c r="U44" s="467">
        <f t="shared" si="2"/>
        <v>7</v>
      </c>
      <c r="V44" s="485">
        <f t="shared" si="2"/>
        <v>7</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42"/>
      <c r="B45" s="1342"/>
      <c r="C45" s="1342"/>
      <c r="D45" s="467" t="s">
        <v>23</v>
      </c>
      <c r="E45" s="467">
        <f t="shared" ref="E45:AI45" si="4">SUM(E43,E44)</f>
        <v>0</v>
      </c>
      <c r="F45" s="467">
        <f t="shared" si="4"/>
        <v>0</v>
      </c>
      <c r="G45" s="467">
        <f t="shared" si="4"/>
        <v>1</v>
      </c>
      <c r="H45" s="467">
        <f t="shared" si="4"/>
        <v>0</v>
      </c>
      <c r="I45" s="467">
        <f t="shared" si="4"/>
        <v>1</v>
      </c>
      <c r="J45" s="467">
        <f t="shared" si="4"/>
        <v>0</v>
      </c>
      <c r="K45" s="467">
        <f t="shared" si="4"/>
        <v>0</v>
      </c>
      <c r="L45" s="467">
        <f t="shared" si="4"/>
        <v>0</v>
      </c>
      <c r="M45" s="467">
        <f t="shared" si="4"/>
        <v>1</v>
      </c>
      <c r="N45" s="467">
        <f t="shared" si="4"/>
        <v>3</v>
      </c>
      <c r="O45" s="467">
        <f t="shared" si="4"/>
        <v>6</v>
      </c>
      <c r="P45" s="467">
        <f t="shared" si="4"/>
        <v>0</v>
      </c>
      <c r="Q45" s="467">
        <f t="shared" si="4"/>
        <v>1</v>
      </c>
      <c r="R45" s="467">
        <f>SUM(R43,R44)</f>
        <v>0</v>
      </c>
      <c r="S45" s="467">
        <f t="shared" si="4"/>
        <v>0</v>
      </c>
      <c r="T45" s="467">
        <f t="shared" si="4"/>
        <v>0</v>
      </c>
      <c r="U45" s="480">
        <f t="shared" si="4"/>
        <v>13</v>
      </c>
      <c r="V45" s="486">
        <f t="shared" si="4"/>
        <v>13</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40" t="s">
        <v>201</v>
      </c>
      <c r="F50" s="1341"/>
      <c r="G50" s="303"/>
      <c r="H50" s="303"/>
      <c r="I50" s="303"/>
      <c r="J50" s="303"/>
      <c r="K50" s="303"/>
      <c r="L50" s="303"/>
      <c r="M50" s="303"/>
      <c r="N50" s="303"/>
      <c r="O50" s="303"/>
      <c r="P50" s="303"/>
      <c r="Q50" s="303"/>
      <c r="R50" s="303"/>
      <c r="S50" s="303"/>
      <c r="T50" s="303"/>
      <c r="U50" s="303"/>
      <c r="V50" s="1336" t="s">
        <v>654</v>
      </c>
      <c r="W50" s="1332" t="s">
        <v>341</v>
      </c>
      <c r="X50" s="1332"/>
      <c r="Y50" s="1332"/>
      <c r="Z50" s="1332"/>
      <c r="AA50" s="1332"/>
      <c r="AB50" s="1332"/>
      <c r="AC50" s="1332"/>
      <c r="AD50" s="1332"/>
      <c r="AE50" s="1332"/>
      <c r="AF50" s="1332"/>
      <c r="AG50" s="1332"/>
      <c r="AH50" s="1332"/>
      <c r="AI50" s="1332"/>
      <c r="AJ50" s="1332"/>
      <c r="AK50" s="20"/>
      <c r="AL50" s="20"/>
      <c r="AM50" s="20"/>
      <c r="AN50" s="20"/>
      <c r="AO50" s="20"/>
      <c r="AP50" s="20"/>
      <c r="AQ50" s="20"/>
      <c r="AR50" s="20"/>
      <c r="AS50" s="20"/>
      <c r="AT50" s="20"/>
      <c r="AU50" s="20"/>
      <c r="AV50" s="20"/>
      <c r="AW50" s="20"/>
      <c r="AX50" s="20"/>
    </row>
    <row r="51" spans="1:50" ht="14" thickBot="1">
      <c r="A51" s="466" t="s">
        <v>24</v>
      </c>
      <c r="B51" s="466" t="s">
        <v>202</v>
      </c>
      <c r="C51" s="466" t="s">
        <v>203</v>
      </c>
      <c r="D51" s="466"/>
      <c r="E51" s="466" t="s">
        <v>527</v>
      </c>
      <c r="F51" s="466" t="s">
        <v>376</v>
      </c>
      <c r="G51" s="466" t="s">
        <v>461</v>
      </c>
      <c r="H51" s="466" t="s">
        <v>372</v>
      </c>
      <c r="I51" s="466" t="s">
        <v>374</v>
      </c>
      <c r="J51" s="466" t="s">
        <v>529</v>
      </c>
      <c r="K51" s="466" t="s">
        <v>463</v>
      </c>
      <c r="L51" s="466" t="s">
        <v>368</v>
      </c>
      <c r="M51" s="466" t="s">
        <v>533</v>
      </c>
      <c r="N51" s="466" t="s">
        <v>370</v>
      </c>
      <c r="O51" s="466" t="s">
        <v>531</v>
      </c>
      <c r="P51" s="466" t="s">
        <v>243</v>
      </c>
      <c r="Q51" s="466" t="s">
        <v>378</v>
      </c>
      <c r="R51" s="466" t="s">
        <v>246</v>
      </c>
      <c r="S51" s="466" t="s">
        <v>517</v>
      </c>
      <c r="T51" s="466" t="s">
        <v>248</v>
      </c>
      <c r="U51" s="467" t="s">
        <v>23</v>
      </c>
      <c r="V51" s="1336"/>
      <c r="W51" s="473" t="s">
        <v>182</v>
      </c>
      <c r="X51" s="473" t="s">
        <v>527</v>
      </c>
      <c r="Y51" s="473" t="s">
        <v>376</v>
      </c>
      <c r="Z51" s="473" t="s">
        <v>461</v>
      </c>
      <c r="AA51" s="473" t="s">
        <v>372</v>
      </c>
      <c r="AB51" s="473" t="s">
        <v>374</v>
      </c>
      <c r="AC51" s="473" t="s">
        <v>529</v>
      </c>
      <c r="AD51" s="473" t="s">
        <v>463</v>
      </c>
      <c r="AE51" s="473" t="s">
        <v>368</v>
      </c>
      <c r="AF51" s="473" t="s">
        <v>533</v>
      </c>
      <c r="AG51" s="473" t="s">
        <v>370</v>
      </c>
      <c r="AH51" s="473" t="s">
        <v>246</v>
      </c>
      <c r="AI51" s="473" t="s">
        <v>248</v>
      </c>
      <c r="AJ51" s="473"/>
      <c r="AK51" s="20"/>
      <c r="AL51" s="20"/>
      <c r="AM51" s="20"/>
      <c r="AN51" s="20"/>
      <c r="AO51" s="20"/>
      <c r="AP51" s="20"/>
      <c r="AQ51" s="20"/>
      <c r="AR51" s="20"/>
      <c r="AS51" s="20"/>
      <c r="AT51" s="20"/>
      <c r="AU51" s="20"/>
      <c r="AV51" s="20"/>
      <c r="AW51" s="20"/>
      <c r="AX51" s="20"/>
    </row>
    <row r="52" spans="1:50">
      <c r="A52" s="1337">
        <v>1</v>
      </c>
      <c r="B52" s="1338" t="str">
        <f ca="1">IF(IBRF!H11="","",IBRF!H11)</f>
        <v>182</v>
      </c>
      <c r="C52" s="1339" t="str">
        <f ca="1">IF(IBRF!I11="","",IBRF!I11)</f>
        <v>Travis Blocker</v>
      </c>
      <c r="D52" s="94" t="s">
        <v>21</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1</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1</v>
      </c>
      <c r="V52" s="483">
        <f ca="1">IF(B52="","",SUM(E52:T52))</f>
        <v>1</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37"/>
      <c r="B53" s="1338"/>
      <c r="C53" s="1339"/>
      <c r="D53" s="94" t="s">
        <v>198</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0</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0</v>
      </c>
      <c r="V53" s="483">
        <f ca="1">IF(B52="","",SUM(E53:T53))</f>
        <v>0</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33">
        <f>A52+1</f>
        <v>2</v>
      </c>
      <c r="B54" s="1334" t="str">
        <f ca="1">IF(IBRF!H12="","",IBRF!H12)</f>
        <v>2¢</v>
      </c>
      <c r="C54" s="1335" t="str">
        <f ca="1">IF(IBRF!I12="","",IBRF!I12)</f>
        <v>Vera Toss</v>
      </c>
      <c r="D54" s="461" t="s">
        <v>21</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33"/>
      <c r="B55" s="1334"/>
      <c r="C55" s="1335"/>
      <c r="D55" s="461" t="s">
        <v>198</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1</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1</v>
      </c>
      <c r="V55" s="484">
        <f ca="1">IF(B54="","",SUM(E55:T55))</f>
        <v>1</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37">
        <f>A54+1</f>
        <v>3</v>
      </c>
      <c r="B56" s="1338" t="str">
        <f ca="1">IF(IBRF!H13="","",IBRF!H13)</f>
        <v>24/7</v>
      </c>
      <c r="C56" s="1339" t="str">
        <f ca="1">IF(IBRF!I13="","",IBRF!I13)</f>
        <v>boo d. livers</v>
      </c>
      <c r="D56" s="94" t="s">
        <v>21</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1</v>
      </c>
      <c r="N56" s="302">
        <f ca="1">IF($B56="","",COUNTIF(Penalties!$O8:$U8,N$51))</f>
        <v>0</v>
      </c>
      <c r="O56" s="302">
        <f ca="1">IF($B56="","",COUNTIF(Penalties!$O8:$U8,O$51))</f>
        <v>1</v>
      </c>
      <c r="P56" s="302">
        <f ca="1">IF($B56="","",COUNTIF(Penalties!$O8:$U8,P$51))</f>
        <v>0</v>
      </c>
      <c r="Q56" s="302">
        <f ca="1">IF($B56="","",COUNTIF(Penalties!$O8:$U8,Q$51))</f>
        <v>0</v>
      </c>
      <c r="R56" s="302">
        <f ca="1">IF($B56="","",COUNTIF(Penalties!$O8:$U8,R$51))</f>
        <v>2</v>
      </c>
      <c r="S56" s="302">
        <f ca="1">IF($B56="","",COUNTIF(Penalties!$O8:$U8,S$51))</f>
        <v>0</v>
      </c>
      <c r="T56" s="302">
        <f ca="1">IF($B56="","",COUNTIF(Penalties!$O8:$U8,T$51))</f>
        <v>0</v>
      </c>
      <c r="U56" s="474">
        <f ca="1">IF(B56="","",SUM(E56:T56))</f>
        <v>4</v>
      </c>
      <c r="V56" s="483">
        <f ca="1">IF(B56="","",SUM(E56:T56))</f>
        <v>4</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37"/>
      <c r="B57" s="1338"/>
      <c r="C57" s="1339"/>
      <c r="D57" s="94" t="s">
        <v>198</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1</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1</v>
      </c>
      <c r="V57" s="483">
        <f ca="1">IF(B56="","",SUM(E57:T57))</f>
        <v>1</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33">
        <f>A56+1</f>
        <v>4</v>
      </c>
      <c r="B58" s="1334" t="str">
        <f ca="1">IF(IBRF!H14="","",IBRF!H14)</f>
        <v>27</v>
      </c>
      <c r="C58" s="1335" t="str">
        <f ca="1">IF(IBRF!I14="","",IBRF!I14)</f>
        <v>A.O. Lesgo</v>
      </c>
      <c r="D58" s="461" t="s">
        <v>21</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1</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1</v>
      </c>
      <c r="V58" s="484">
        <f ca="1">IF(B58="","",SUM(E58:T58))</f>
        <v>1</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33"/>
      <c r="B59" s="1334"/>
      <c r="C59" s="1335"/>
      <c r="D59" s="461" t="s">
        <v>198</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1</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1</v>
      </c>
      <c r="V59" s="484">
        <f ca="1">IF(B58="","",SUM(E59:T59))</f>
        <v>1</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37">
        <f>A58+1</f>
        <v>5</v>
      </c>
      <c r="B60" s="1338" t="str">
        <f ca="1">IF(IBRF!H15="","",IBRF!H15)</f>
        <v>38DD</v>
      </c>
      <c r="C60" s="1339" t="str">
        <f ca="1">IF(IBRF!I15="","",IBRF!I15)</f>
        <v>Tig O' Hitties</v>
      </c>
      <c r="D60" s="94" t="s">
        <v>21</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0</v>
      </c>
      <c r="V60" s="483">
        <f ca="1">IF(B60="","",SUM(E60:T60))</f>
        <v>0</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37"/>
      <c r="B61" s="1338"/>
      <c r="C61" s="1339"/>
      <c r="D61" s="94" t="s">
        <v>198</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0</v>
      </c>
      <c r="V61" s="483">
        <f ca="1">IF(B60="","",SUM(E61:T61))</f>
        <v>0</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33">
        <f>A60+1</f>
        <v>6</v>
      </c>
      <c r="B62" s="1334" t="str">
        <f ca="1">IF(IBRF!H16="","",IBRF!H16)</f>
        <v>42</v>
      </c>
      <c r="C62" s="1335" t="str">
        <f ca="1">IF(IBRF!I16="","",IBRF!I16)</f>
        <v>Midnite Vulture</v>
      </c>
      <c r="D62" s="461" t="s">
        <v>21</v>
      </c>
      <c r="E62" s="461">
        <f ca="1">IF($B62="","",COUNTIF(Penalties!$O14:$U14,E$51))</f>
        <v>0</v>
      </c>
      <c r="F62" s="461">
        <f ca="1">IF($B62="","",COUNTIF(Penalties!$O14:$U14,F$51))</f>
        <v>0</v>
      </c>
      <c r="G62" s="461">
        <f ca="1">IF($B62="","",COUNTIF(Penalties!$O14:$U14,G$51))</f>
        <v>0</v>
      </c>
      <c r="H62" s="461">
        <f ca="1">IF($B62="","",COUNTIF(Penalties!$O14:$U14,H$51))</f>
        <v>0</v>
      </c>
      <c r="I62" s="461">
        <f ca="1">IF($B62="","",COUNTIF(Penalties!$O14:$U14,I$51))</f>
        <v>1</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1</v>
      </c>
      <c r="V62" s="484">
        <f ca="1">IF(B62="","",SUM(E62:T62))</f>
        <v>1</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33"/>
      <c r="B63" s="1334"/>
      <c r="C63" s="1335"/>
      <c r="D63" s="461" t="s">
        <v>198</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37">
        <f>A62+1</f>
        <v>7</v>
      </c>
      <c r="B64" s="1338" t="str">
        <f ca="1">IF(IBRF!H17="","",IBRF!H17)</f>
        <v>50</v>
      </c>
      <c r="C64" s="1339" t="str">
        <f ca="1">IF(IBRF!I17="","",IBRF!I17)</f>
        <v>Sam-I-Slam</v>
      </c>
      <c r="D64" s="94" t="s">
        <v>21</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0</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0</v>
      </c>
      <c r="V64" s="483">
        <f ca="1">IF(B64="","",SUM(E64:T64))</f>
        <v>0</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37"/>
      <c r="B65" s="1338"/>
      <c r="C65" s="1339"/>
      <c r="D65" s="94" t="s">
        <v>198</v>
      </c>
      <c r="E65" s="302">
        <f ca="1">IF($B64="","",COUNTIF(Penalties!$AM16:$AS16,E$51))</f>
        <v>0</v>
      </c>
      <c r="F65" s="302">
        <f ca="1">IF($B64="","",COUNTIF(Penalties!$AM16:$AS16,F$51))</f>
        <v>0</v>
      </c>
      <c r="G65" s="302">
        <f ca="1">IF($B64="","",COUNTIF(Penalties!$AM16:$AS16,G$51))</f>
        <v>1</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1</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2</v>
      </c>
      <c r="V65" s="483">
        <f ca="1">IF(B64="","",SUM(E65:T65))</f>
        <v>2</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33">
        <f>A64+1</f>
        <v>8</v>
      </c>
      <c r="B66" s="1334" t="str">
        <f ca="1">IF(IBRF!H18="","",IBRF!H18)</f>
        <v>620</v>
      </c>
      <c r="C66" s="1335" t="str">
        <f ca="1">IF(IBRF!I18="","",IBRF!I18)</f>
        <v>Lazer Beam</v>
      </c>
      <c r="D66" s="461" t="s">
        <v>21</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0</v>
      </c>
      <c r="O66" s="461">
        <f ca="1">IF($B66="","",COUNTIF(Penalties!$O18:$U18,O$51))</f>
        <v>1</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1</v>
      </c>
      <c r="V66" s="484">
        <f ca="1">IF(B66="","",SUM(E66:T66))</f>
        <v>1</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33"/>
      <c r="B67" s="1334"/>
      <c r="C67" s="1335"/>
      <c r="D67" s="461" t="s">
        <v>198</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1</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1</v>
      </c>
      <c r="V67" s="484">
        <f ca="1">IF(B66="","",SUM(E67:T67))</f>
        <v>1</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37">
        <f>A66+1</f>
        <v>9</v>
      </c>
      <c r="B68" s="1338" t="str">
        <f ca="1">IF(IBRF!H19="","",IBRF!H19)</f>
        <v>7</v>
      </c>
      <c r="C68" s="1339" t="str">
        <f ca="1">IF(IBRF!I19="","",IBRF!I19)</f>
        <v>CottonCandy Princess</v>
      </c>
      <c r="D68" s="94" t="s">
        <v>21</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1</v>
      </c>
      <c r="M68" s="302">
        <f ca="1">IF($B68="","",COUNTIF(Penalties!$O20:$U20,M$51))</f>
        <v>0</v>
      </c>
      <c r="N68" s="302">
        <f ca="1">IF($B68="","",COUNTIF(Penalties!$O20:$U20,N$51))</f>
        <v>1</v>
      </c>
      <c r="O68" s="302">
        <f ca="1">IF($B68="","",COUNTIF(Penalties!$O20:$U20,O$51))</f>
        <v>0</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2</v>
      </c>
      <c r="V68" s="483">
        <f ca="1">IF(B68="","",SUM(E68:T68))</f>
        <v>2</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37"/>
      <c r="B69" s="1338"/>
      <c r="C69" s="1339"/>
      <c r="D69" s="94" t="s">
        <v>198</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1</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1</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2</v>
      </c>
      <c r="V69" s="483">
        <f ca="1">IF(B68="","",SUM(E69:T69))</f>
        <v>2</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33">
        <f>A68+1</f>
        <v>10</v>
      </c>
      <c r="B70" s="1334" t="str">
        <f ca="1">IF(IBRF!H20="","",IBRF!H20)</f>
        <v>72</v>
      </c>
      <c r="C70" s="1335" t="str">
        <f ca="1">IF(IBRF!I20="","",IBRF!I20)</f>
        <v>Demonica Mars</v>
      </c>
      <c r="D70" s="461" t="s">
        <v>21</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0</v>
      </c>
      <c r="V70" s="484">
        <f ca="1">IF(B70="","",SUM(E70:T70))</f>
        <v>0</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33"/>
      <c r="B71" s="1334"/>
      <c r="C71" s="1335"/>
      <c r="D71" s="461" t="s">
        <v>198</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0</v>
      </c>
      <c r="V71" s="484">
        <f ca="1">IF(B70="","",SUM(E71:T71))</f>
        <v>0</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37">
        <f>A70+1</f>
        <v>11</v>
      </c>
      <c r="B72" s="1338" t="str">
        <f ca="1">IF(IBRF!H21="","",IBRF!H21)</f>
        <v>9.81</v>
      </c>
      <c r="C72" s="1339" t="str">
        <f ca="1">IF(IBRF!I21="","",IBRF!I21)</f>
        <v>Uhura Belle Death</v>
      </c>
      <c r="D72" s="94" t="s">
        <v>21</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1</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1</v>
      </c>
      <c r="V72" s="483">
        <f ca="1">IF(B72="","",SUM(E72:T72))</f>
        <v>1</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37"/>
      <c r="B73" s="1338"/>
      <c r="C73" s="1339"/>
      <c r="D73" s="94" t="s">
        <v>198</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0</v>
      </c>
      <c r="V73" s="483">
        <f ca="1">IF(B72="","",SUM(E73:T73))</f>
        <v>0</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33">
        <f>A72+1</f>
        <v>12</v>
      </c>
      <c r="B74" s="1334" t="str">
        <f ca="1">IF(IBRF!H22="","",IBRF!H22)</f>
        <v>I-75</v>
      </c>
      <c r="C74" s="1335" t="str">
        <f ca="1">IF(IBRF!I22="","",IBRF!I22)</f>
        <v>Diesel Doll</v>
      </c>
      <c r="D74" s="461" t="s">
        <v>21</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33"/>
      <c r="B75" s="1334"/>
      <c r="C75" s="1335"/>
      <c r="D75" s="461" t="s">
        <v>198</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0</v>
      </c>
      <c r="V75" s="484">
        <f ca="1">IF(B74="","",SUM(E75:T75))</f>
        <v>0</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37">
        <f>A74+1</f>
        <v>13</v>
      </c>
      <c r="B76" s="1338" t="str">
        <f ca="1">IF(IBRF!H23="","",IBRF!H23)</f>
        <v>N2O</v>
      </c>
      <c r="C76" s="1339" t="str">
        <f ca="1">IF(IBRF!I23="","",IBRF!I23)</f>
        <v>Cool Whip</v>
      </c>
      <c r="D76" s="94" t="s">
        <v>21</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37"/>
      <c r="B77" s="1338"/>
      <c r="C77" s="1339"/>
      <c r="D77" s="94" t="s">
        <v>198</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1</v>
      </c>
      <c r="O77" s="302">
        <f ca="1">IF($B76="","",COUNTIF(Penalties!$AM28:$AS28,O$51))</f>
        <v>1</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2</v>
      </c>
      <c r="V77" s="483">
        <f ca="1">IF(B76="","",SUM(E77:T77))</f>
        <v>2</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33">
        <f>A76+1</f>
        <v>14</v>
      </c>
      <c r="B78" s="1334" t="str">
        <f ca="1">IF(IBRF!H24="","",IBRF!H24)</f>
        <v>W00T</v>
      </c>
      <c r="C78" s="1335" t="str">
        <f ca="1">IF(IBRF!I24="","",IBRF!I24)</f>
        <v>Genniferal</v>
      </c>
      <c r="D78" s="461" t="s">
        <v>21</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33"/>
      <c r="B79" s="1334"/>
      <c r="C79" s="1335"/>
      <c r="D79" s="461" t="s">
        <v>198</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0</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0</v>
      </c>
      <c r="V79" s="484">
        <f ca="1">IF(B78="","",SUM(E79:T79))</f>
        <v>0</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37">
        <f>A78+1</f>
        <v>15</v>
      </c>
      <c r="B80" s="1338" t="str">
        <f ca="1">IF(IBRF!H25="","",IBRF!H25)</f>
        <v>Z28</v>
      </c>
      <c r="C80" s="1339" t="str">
        <f ca="1">IF(IBRF!I25="","",IBRF!I25)</f>
        <v>V8 Nightmare</v>
      </c>
      <c r="D80" s="94" t="s">
        <v>21</v>
      </c>
      <c r="E80" s="302">
        <f ca="1">IF($B80="","",COUNTIF(Penalties!$O32:$U32,E$51))</f>
        <v>0</v>
      </c>
      <c r="F80" s="302">
        <f ca="1">IF($B80="","",COUNTIF(Penalties!$O32:$U32,F$51))</f>
        <v>0</v>
      </c>
      <c r="G80" s="302">
        <f ca="1">IF($B80="","",COUNTIF(Penalties!$O32:$U32,G$51))</f>
        <v>0</v>
      </c>
      <c r="H80" s="302">
        <f ca="1">IF($B80="","",COUNTIF(Penalties!$O32:$U32,H$51))</f>
        <v>0</v>
      </c>
      <c r="I80" s="302">
        <f ca="1">IF($B80="","",COUNTIF(Penalties!$O32:$U32,I$51))</f>
        <v>0</v>
      </c>
      <c r="J80" s="302">
        <f ca="1">IF($B80="","",COUNTIF(Penalties!$O32:$U32,J$51))</f>
        <v>0</v>
      </c>
      <c r="K80" s="302">
        <f ca="1">IF($B80="","",COUNTIF(Penalties!$O32:$U32,K$51))</f>
        <v>0</v>
      </c>
      <c r="L80" s="302">
        <f ca="1">IF($B80="","",COUNTIF(Penalties!$O32:$U32,L$51))</f>
        <v>0</v>
      </c>
      <c r="M80" s="302">
        <f ca="1">IF($B80="","",COUNTIF(Penalties!$O32:$U32,M$51))</f>
        <v>0</v>
      </c>
      <c r="N80" s="302">
        <f ca="1">IF($B80="","",COUNTIF(Penalties!$O32:$U32,N$51))</f>
        <v>0</v>
      </c>
      <c r="O80" s="302">
        <f ca="1">IF($B80="","",COUNTIF(Penalties!$O32:$U32,O$51))</f>
        <v>0</v>
      </c>
      <c r="P80" s="302">
        <f ca="1">IF($B80="","",COUNTIF(Penalties!$O32:$U32,P$51))</f>
        <v>0</v>
      </c>
      <c r="Q80" s="302">
        <f ca="1">IF($B80="","",COUNTIF(Penalties!$O32:$U32,Q$51))</f>
        <v>0</v>
      </c>
      <c r="R80" s="302">
        <f ca="1">IF($B80="","",COUNTIF(Penalties!$O32:$U32,R$51))</f>
        <v>0</v>
      </c>
      <c r="S80" s="302">
        <f ca="1">IF($B80="","",COUNTIF(Penalties!$O32:$U32,S$51))</f>
        <v>0</v>
      </c>
      <c r="T80" s="302">
        <f ca="1">IF($B80="","",COUNTIF(Penalties!$O32:$U32,T$51))</f>
        <v>0</v>
      </c>
      <c r="U80" s="474">
        <f ca="1">IF(B80="","",SUM(E80:T80))</f>
        <v>0</v>
      </c>
      <c r="V80" s="483">
        <f ca="1">IF(B80="","",SUM(E80:T80))</f>
        <v>0</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37"/>
      <c r="B81" s="1338"/>
      <c r="C81" s="1339"/>
      <c r="D81" s="94" t="s">
        <v>198</v>
      </c>
      <c r="E81" s="302">
        <f ca="1">IF($B80="","",COUNTIF(Penalties!$AM32:$AS32,E$51))</f>
        <v>0</v>
      </c>
      <c r="F81" s="302">
        <f ca="1">IF($B80="","",COUNTIF(Penalties!$AM32:$AS32,F$51))</f>
        <v>0</v>
      </c>
      <c r="G81" s="302">
        <f ca="1">IF($B80="","",COUNTIF(Penalties!$AM32:$AS32,G$51))</f>
        <v>0</v>
      </c>
      <c r="H81" s="302">
        <f ca="1">IF($B80="","",COUNTIF(Penalties!$AM32:$AS32,H$51))</f>
        <v>0</v>
      </c>
      <c r="I81" s="302">
        <f ca="1">IF($B80="","",COUNTIF(Penalties!$AM32:$AS32,I$51))</f>
        <v>0</v>
      </c>
      <c r="J81" s="302">
        <f ca="1">IF($B80="","",COUNTIF(Penalties!$AM32:$AS32,J$51))</f>
        <v>0</v>
      </c>
      <c r="K81" s="302">
        <f ca="1">IF($B80="","",COUNTIF(Penalties!$AM32:$AS32,K$51))</f>
        <v>0</v>
      </c>
      <c r="L81" s="302">
        <f ca="1">IF($B80="","",COUNTIF(Penalties!$AM32:$AS32,L$51))</f>
        <v>0</v>
      </c>
      <c r="M81" s="302">
        <f ca="1">IF($B80="","",COUNTIF(Penalties!$AM32:$AS32,M$51))</f>
        <v>0</v>
      </c>
      <c r="N81" s="302">
        <f ca="1">IF($B80="","",COUNTIF(Penalties!$AM32:$AS32,N$51))</f>
        <v>0</v>
      </c>
      <c r="O81" s="302">
        <f ca="1">IF($B80="","",COUNTIF(Penalties!$AM32:$AS32,O$51))</f>
        <v>0</v>
      </c>
      <c r="P81" s="302">
        <f ca="1">IF($B80="","",COUNTIF(Penalties!$AM32:$AS32,P$51))</f>
        <v>0</v>
      </c>
      <c r="Q81" s="302">
        <f ca="1">IF($B80="","",COUNTIF(Penalties!$AM32:$AS32,Q$51))</f>
        <v>0</v>
      </c>
      <c r="R81" s="302">
        <f ca="1">IF($B80="","",COUNTIF(Penalties!$AM32:$AS32,R$51))</f>
        <v>0</v>
      </c>
      <c r="S81" s="302">
        <f ca="1">IF($B80="","",COUNTIF(Penalties!$AM32:$AS32,S$51))</f>
        <v>0</v>
      </c>
      <c r="T81" s="302">
        <f ca="1">IF($B80="","",COUNTIF(Penalties!$AM32:$AS32,T$51))</f>
        <v>0</v>
      </c>
      <c r="U81" s="474">
        <f ca="1">IF(B80="","",SUM(E81:T81))</f>
        <v>0</v>
      </c>
      <c r="V81" s="483">
        <f ca="1">IF(B80="","",SUM(E81:T81))</f>
        <v>0</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33">
        <f>A80+1</f>
        <v>16</v>
      </c>
      <c r="B82" s="1334" t="str">
        <f ca="1">IF(IBRF!H26="","",IBRF!H26)</f>
        <v/>
      </c>
      <c r="C82" s="1335" t="str">
        <f ca="1">IF(IBRF!I26="","",IBRF!I26)</f>
        <v/>
      </c>
      <c r="D82" s="461" t="s">
        <v>21</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33"/>
      <c r="B83" s="1334"/>
      <c r="C83" s="1335"/>
      <c r="D83" s="461" t="s">
        <v>198</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37">
        <f>A82+1</f>
        <v>17</v>
      </c>
      <c r="B84" s="1338" t="str">
        <f ca="1">IF(IBRF!H27="","",IBRF!H27)</f>
        <v/>
      </c>
      <c r="C84" s="1339" t="str">
        <f ca="1">IF(IBRF!I27="","",IBRF!I27)</f>
        <v/>
      </c>
      <c r="D84" s="94" t="s">
        <v>21</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37"/>
      <c r="B85" s="1338"/>
      <c r="C85" s="1339"/>
      <c r="D85" s="94" t="s">
        <v>198</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33">
        <f>A84+1</f>
        <v>18</v>
      </c>
      <c r="B86" s="1334" t="str">
        <f ca="1">IF(IBRF!H28="","",IBRF!H28)</f>
        <v/>
      </c>
      <c r="C86" s="1335" t="str">
        <f ca="1">IF(IBRF!I28="","",IBRF!I28)</f>
        <v/>
      </c>
      <c r="D86" s="461" t="s">
        <v>21</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33"/>
      <c r="B87" s="1334"/>
      <c r="C87" s="1335"/>
      <c r="D87" s="461" t="s">
        <v>198</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37">
        <f>A86+1</f>
        <v>19</v>
      </c>
      <c r="B88" s="1338" t="str">
        <f ca="1">IF(IBRF!H29="","",IBRF!H29)</f>
        <v/>
      </c>
      <c r="C88" s="1339" t="str">
        <f ca="1">IF(IBRF!I29="","",IBRF!I29)</f>
        <v/>
      </c>
      <c r="D88" s="94" t="s">
        <v>21</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37"/>
      <c r="B89" s="1338"/>
      <c r="C89" s="1339"/>
      <c r="D89" s="94" t="s">
        <v>198</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33">
        <f>A88+1</f>
        <v>20</v>
      </c>
      <c r="B90" s="1334" t="str">
        <f ca="1">IF(IBRF!H30="","",IBRF!H30)</f>
        <v/>
      </c>
      <c r="C90" s="1335" t="str">
        <f ca="1">IF(IBRF!I30="","",IBRF!I30)</f>
        <v/>
      </c>
      <c r="D90" s="461" t="s">
        <v>21</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33"/>
      <c r="B91" s="1334"/>
      <c r="C91" s="1335"/>
      <c r="D91" s="461" t="s">
        <v>198</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42" t="s">
        <v>24</v>
      </c>
      <c r="B92" s="1342"/>
      <c r="C92" s="1342" t="s">
        <v>204</v>
      </c>
      <c r="D92" s="304" t="s">
        <v>21</v>
      </c>
      <c r="E92" s="304">
        <f t="shared" ref="E92:AI92" si="6">SUM(E52,E54,E56,E58,E60,E62,E64,E66,E68,E70,E72,E74,E76,E78,E80,E82,E84,E86,E88,E90)</f>
        <v>0</v>
      </c>
      <c r="F92" s="304">
        <f t="shared" si="6"/>
        <v>0</v>
      </c>
      <c r="G92" s="304">
        <f t="shared" si="6"/>
        <v>0</v>
      </c>
      <c r="H92" s="304">
        <f t="shared" si="6"/>
        <v>0</v>
      </c>
      <c r="I92" s="304">
        <f t="shared" si="6"/>
        <v>1</v>
      </c>
      <c r="J92" s="304">
        <f t="shared" si="6"/>
        <v>0</v>
      </c>
      <c r="K92" s="304">
        <f t="shared" si="6"/>
        <v>0</v>
      </c>
      <c r="L92" s="304">
        <f t="shared" si="6"/>
        <v>1</v>
      </c>
      <c r="M92" s="304">
        <f t="shared" si="6"/>
        <v>1</v>
      </c>
      <c r="N92" s="304">
        <f t="shared" si="6"/>
        <v>2</v>
      </c>
      <c r="O92" s="304">
        <f t="shared" si="6"/>
        <v>4</v>
      </c>
      <c r="P92" s="304">
        <f t="shared" si="6"/>
        <v>0</v>
      </c>
      <c r="Q92" s="304">
        <f t="shared" si="6"/>
        <v>0</v>
      </c>
      <c r="R92" s="304">
        <f>SUM(R52,R54,R56,R58,R60,R62,R64,R66,R68,R70,R72,R74,R76,R78,R80,R82,R84,R86,R88,R90)</f>
        <v>2</v>
      </c>
      <c r="S92" s="304">
        <f t="shared" si="6"/>
        <v>0</v>
      </c>
      <c r="T92" s="304">
        <f t="shared" si="6"/>
        <v>0</v>
      </c>
      <c r="U92" s="467">
        <f t="shared" si="6"/>
        <v>11</v>
      </c>
      <c r="V92" s="485">
        <f t="shared" si="6"/>
        <v>11</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42"/>
      <c r="B93" s="1342"/>
      <c r="C93" s="1342"/>
      <c r="D93" s="304" t="s">
        <v>198</v>
      </c>
      <c r="E93" s="304">
        <f t="shared" ref="E93:AI93" si="8">SUM(E53,E55,E57,E59,E61,E63,E65,E67,E69,E71,E73,E75,E77,E79,E81,E83,E85,E87,E89,E91)</f>
        <v>0</v>
      </c>
      <c r="F93" s="304">
        <f t="shared" si="8"/>
        <v>0</v>
      </c>
      <c r="G93" s="304">
        <f t="shared" si="8"/>
        <v>1</v>
      </c>
      <c r="H93" s="304">
        <f t="shared" si="8"/>
        <v>0</v>
      </c>
      <c r="I93" s="304">
        <f t="shared" si="8"/>
        <v>1</v>
      </c>
      <c r="J93" s="304">
        <f t="shared" si="8"/>
        <v>0</v>
      </c>
      <c r="K93" s="304">
        <f t="shared" si="8"/>
        <v>0</v>
      </c>
      <c r="L93" s="304">
        <f t="shared" si="8"/>
        <v>0</v>
      </c>
      <c r="M93" s="304">
        <f t="shared" si="8"/>
        <v>1</v>
      </c>
      <c r="N93" s="304">
        <f t="shared" si="8"/>
        <v>2</v>
      </c>
      <c r="O93" s="304">
        <f t="shared" si="8"/>
        <v>5</v>
      </c>
      <c r="P93" s="304">
        <f t="shared" si="8"/>
        <v>0</v>
      </c>
      <c r="Q93" s="304">
        <f t="shared" si="8"/>
        <v>0</v>
      </c>
      <c r="R93" s="304">
        <f>SUM(R53,R55,R57,R59,R61,R63,R65,R67,R69,R71,R73,R75,R77,R79,R81,R83,R85,R87,R89,R91)</f>
        <v>0</v>
      </c>
      <c r="S93" s="304">
        <f t="shared" si="8"/>
        <v>0</v>
      </c>
      <c r="T93" s="304">
        <f t="shared" si="8"/>
        <v>0</v>
      </c>
      <c r="U93" s="467">
        <f t="shared" si="8"/>
        <v>10</v>
      </c>
      <c r="V93" s="485">
        <f t="shared" si="8"/>
        <v>10</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42"/>
      <c r="B94" s="1342"/>
      <c r="C94" s="1342"/>
      <c r="D94" s="467" t="s">
        <v>23</v>
      </c>
      <c r="E94" s="467">
        <f t="shared" ref="E94:AI94" si="10">SUM(E92,E93)</f>
        <v>0</v>
      </c>
      <c r="F94" s="467">
        <f t="shared" si="10"/>
        <v>0</v>
      </c>
      <c r="G94" s="467">
        <f t="shared" si="10"/>
        <v>1</v>
      </c>
      <c r="H94" s="467">
        <f t="shared" si="10"/>
        <v>0</v>
      </c>
      <c r="I94" s="467">
        <f t="shared" si="10"/>
        <v>2</v>
      </c>
      <c r="J94" s="467">
        <f t="shared" si="10"/>
        <v>0</v>
      </c>
      <c r="K94" s="467">
        <f t="shared" si="10"/>
        <v>0</v>
      </c>
      <c r="L94" s="467">
        <f t="shared" si="10"/>
        <v>1</v>
      </c>
      <c r="M94" s="467">
        <f t="shared" si="10"/>
        <v>2</v>
      </c>
      <c r="N94" s="467">
        <f t="shared" si="10"/>
        <v>4</v>
      </c>
      <c r="O94" s="467">
        <f t="shared" si="10"/>
        <v>9</v>
      </c>
      <c r="P94" s="467">
        <f t="shared" si="10"/>
        <v>0</v>
      </c>
      <c r="Q94" s="467">
        <f t="shared" si="10"/>
        <v>0</v>
      </c>
      <c r="R94" s="467">
        <f>SUM(R92,R93)</f>
        <v>2</v>
      </c>
      <c r="S94" s="467">
        <f t="shared" si="10"/>
        <v>0</v>
      </c>
      <c r="T94" s="467">
        <f t="shared" si="10"/>
        <v>0</v>
      </c>
      <c r="U94" s="480">
        <f t="shared" si="10"/>
        <v>21</v>
      </c>
      <c r="V94" s="486">
        <f t="shared" si="10"/>
        <v>21</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273</v>
      </c>
      <c r="V2" s="308" t="s">
        <v>273</v>
      </c>
    </row>
    <row r="3" spans="1:37">
      <c r="C3" s="20" t="s">
        <v>205</v>
      </c>
      <c r="D3" s="20">
        <f ca="1">MAX(Score!A80,Score!T80)</f>
        <v>24</v>
      </c>
      <c r="V3" s="20" t="s">
        <v>205</v>
      </c>
      <c r="W3" s="20">
        <f>D3</f>
        <v>24</v>
      </c>
    </row>
    <row r="4" spans="1:37">
      <c r="C4" s="20" t="s">
        <v>206</v>
      </c>
      <c r="D4" s="20">
        <f ca="1">SK!H79</f>
        <v>15</v>
      </c>
      <c r="V4" s="20" t="s">
        <v>207</v>
      </c>
      <c r="W4" s="20">
        <f ca="1">SK!X79</f>
        <v>8</v>
      </c>
    </row>
    <row r="5" spans="1:37">
      <c r="C5" s="20" t="s">
        <v>208</v>
      </c>
      <c r="D5" s="20">
        <f>COUNTIF(Q9:Q24,"&gt;0")</f>
        <v>14</v>
      </c>
      <c r="V5" s="20" t="s">
        <v>209</v>
      </c>
      <c r="W5" s="20">
        <f>COUNTIF(AJ9:AJ24,"&gt;0")</f>
        <v>15</v>
      </c>
    </row>
    <row r="7" spans="1:37">
      <c r="A7" s="1343" t="s">
        <v>210</v>
      </c>
      <c r="B7" s="1343"/>
      <c r="C7" s="1343"/>
      <c r="D7" s="309"/>
      <c r="E7" s="309"/>
      <c r="F7" s="309"/>
      <c r="G7" s="309"/>
      <c r="H7" s="309"/>
      <c r="I7" s="309"/>
      <c r="J7" s="309"/>
      <c r="K7" s="309"/>
      <c r="L7" s="309"/>
      <c r="M7" s="309"/>
      <c r="N7" s="309"/>
      <c r="O7" s="309"/>
      <c r="P7" s="309"/>
      <c r="Q7" s="309"/>
      <c r="R7" s="309"/>
      <c r="T7" s="1343" t="s">
        <v>210</v>
      </c>
      <c r="U7" s="1343"/>
      <c r="V7" s="1343"/>
      <c r="W7" s="309"/>
      <c r="X7" s="309"/>
      <c r="Y7" s="309"/>
      <c r="Z7" s="309"/>
      <c r="AA7" s="309"/>
      <c r="AB7" s="309"/>
      <c r="AC7" s="309"/>
      <c r="AD7" s="309"/>
      <c r="AE7" s="309"/>
      <c r="AF7" s="309"/>
      <c r="AG7" s="309"/>
      <c r="AH7" s="309"/>
      <c r="AI7" s="309"/>
      <c r="AJ7" s="309"/>
      <c r="AK7" s="309"/>
    </row>
    <row r="8" spans="1:37" s="94" customFormat="1">
      <c r="A8" s="466">
        <v>0</v>
      </c>
      <c r="B8" s="466" t="s">
        <v>202</v>
      </c>
      <c r="C8" s="466" t="s">
        <v>203</v>
      </c>
      <c r="D8" s="466" t="s">
        <v>187</v>
      </c>
      <c r="E8" s="467" t="s">
        <v>211</v>
      </c>
      <c r="F8" s="471" t="s">
        <v>189</v>
      </c>
      <c r="G8" s="471" t="s">
        <v>189</v>
      </c>
      <c r="H8" s="471" t="s">
        <v>189</v>
      </c>
      <c r="I8" s="471" t="s">
        <v>189</v>
      </c>
      <c r="J8" s="466" t="s">
        <v>212</v>
      </c>
      <c r="K8" s="467" t="s">
        <v>213</v>
      </c>
      <c r="L8" s="466" t="s">
        <v>214</v>
      </c>
      <c r="M8" s="467" t="s">
        <v>215</v>
      </c>
      <c r="N8" s="468" t="s">
        <v>29</v>
      </c>
      <c r="O8" s="466" t="s">
        <v>190</v>
      </c>
      <c r="P8" s="467" t="s">
        <v>216</v>
      </c>
      <c r="Q8" s="466" t="s">
        <v>23</v>
      </c>
      <c r="R8" s="467" t="s">
        <v>217</v>
      </c>
      <c r="S8" s="302"/>
      <c r="T8" s="466">
        <v>0</v>
      </c>
      <c r="U8" s="466" t="s">
        <v>202</v>
      </c>
      <c r="V8" s="466" t="s">
        <v>203</v>
      </c>
      <c r="W8" s="466" t="s">
        <v>187</v>
      </c>
      <c r="X8" s="467" t="s">
        <v>211</v>
      </c>
      <c r="Y8" s="471" t="s">
        <v>189</v>
      </c>
      <c r="Z8" s="471" t="s">
        <v>189</v>
      </c>
      <c r="AA8" s="471" t="s">
        <v>189</v>
      </c>
      <c r="AB8" s="471" t="s">
        <v>189</v>
      </c>
      <c r="AC8" s="466" t="s">
        <v>212</v>
      </c>
      <c r="AD8" s="467" t="s">
        <v>213</v>
      </c>
      <c r="AE8" s="466" t="s">
        <v>214</v>
      </c>
      <c r="AF8" s="467" t="s">
        <v>215</v>
      </c>
      <c r="AG8" s="468" t="s">
        <v>29</v>
      </c>
      <c r="AH8" s="466" t="s">
        <v>190</v>
      </c>
      <c r="AI8" s="467" t="s">
        <v>216</v>
      </c>
      <c r="AJ8" s="466" t="s">
        <v>23</v>
      </c>
      <c r="AK8" s="467" t="s">
        <v>217</v>
      </c>
    </row>
    <row r="9" spans="1:37">
      <c r="A9" s="94">
        <f t="shared" ref="A9:A28" si="0">A8+1</f>
        <v>1</v>
      </c>
      <c r="B9" s="270" t="str">
        <f ca="1">IF(ISBLANK(IBRF!B11),"",IBRF!B11)</f>
        <v>138</v>
      </c>
      <c r="C9" s="270" t="str">
        <f ca="1">IF(ISBLANK(IBRF!C11),"",IBRF!C11)</f>
        <v>Mag Pie</v>
      </c>
      <c r="D9" s="20">
        <f ca="1">IF($B9="","",SUMPRODUCT(--(Lineups!$F$4:$F$79=$B9),--(Lineups!$B$4:$B$79="")))</f>
        <v>0</v>
      </c>
      <c r="E9" s="464">
        <f t="shared" ref="E9:E28" si="1">IF($B9="","",IF($D$3=0,"",D9/$D$3))</f>
        <v>0</v>
      </c>
      <c r="F9" s="472">
        <f ca="1">IF($B9="","",SUMPRODUCT(--(Lineups!$F$4:$F$79=$B9),--(Lineups!$B$4:$B$79="X")))</f>
        <v>0</v>
      </c>
      <c r="G9" s="472">
        <f ca="1">IF($B9="","",SUMPRODUCT(--(Lineups!I$4:I$79=$B9),--(Lineups!A$4:A$79&lt;&gt;"SP")))</f>
        <v>2</v>
      </c>
      <c r="H9" s="472">
        <f ca="1">IF($B9="","",SUMPRODUCT(--(Lineups!L$4:L$79=$B9),--(Lineups!A$4:A$79&lt;&gt;"SP")))</f>
        <v>2</v>
      </c>
      <c r="I9" s="472">
        <f ca="1">IF($B9="","",SUMPRODUCT(--(Lineups!O$4:O$79=$B9),--(Lineups!A$4:A$79&lt;&gt;"SP")))</f>
        <v>2</v>
      </c>
      <c r="J9" s="20">
        <f t="shared" ref="J9:J28" si="2">IF(B9="","",SUM(F9:I9))</f>
        <v>6</v>
      </c>
      <c r="K9" s="464">
        <f t="shared" ref="K9:K28" si="3">IF($B9="","",IF($D$3=0,"",J9/$D$3))</f>
        <v>0.25</v>
      </c>
      <c r="L9" s="20">
        <f t="shared" ref="L9:L28" si="4">IF(B9="","",SUM(D9,J9))</f>
        <v>6</v>
      </c>
      <c r="M9" s="464">
        <f t="shared" ref="M9:M28" si="5">IF($B9="","",IF($D$3=0,"",L9/$D$3))</f>
        <v>0.25</v>
      </c>
      <c r="N9" s="469" t="str">
        <f ca="1">IF(B9="","",IF(OR(SK!E172="",SK!E172=0),"",SK!H172))</f>
        <v/>
      </c>
      <c r="O9" s="20">
        <f ca="1">IF($B9="","",SUMPRODUCT(--(Lineups!C$4:C$79=$B9)))</f>
        <v>0</v>
      </c>
      <c r="P9" s="464">
        <f t="shared" ref="P9:P28" si="6">IF($B9="","",IF($D$3=0,"",O9/$D$3))</f>
        <v>0</v>
      </c>
      <c r="Q9" s="20">
        <f t="shared" ref="Q9:Q28" si="7">IF(B9="","",SUM(L9,O9))</f>
        <v>6</v>
      </c>
      <c r="R9" s="464">
        <f t="shared" ref="R9:R28" si="8">IF($B9="","",IF($D$3=0,"",Q9/$D$3))</f>
        <v>0.25</v>
      </c>
      <c r="T9" s="94">
        <f t="shared" ref="T9:T28" si="9">T8+1</f>
        <v>1</v>
      </c>
      <c r="U9" s="270" t="str">
        <f ca="1">IF(ISBLANK(IBRF!H11),"",IBRF!H11)</f>
        <v>182</v>
      </c>
      <c r="V9" s="270" t="str">
        <f ca="1">IF(ISBLANK(IBRF!I11),"",IBRF!I11)</f>
        <v>Travis Blocker</v>
      </c>
      <c r="W9" s="20">
        <f ca="1">IF($U9="","",SUMPRODUCT(--(Lineups!$AB$4:$AB$79=$U9),--(Lineups!$X$4:$X$79="")))</f>
        <v>0</v>
      </c>
      <c r="X9" s="464">
        <f t="shared" ref="X9:X28" si="10">IF($U9="","",IF($W$3=0,"",W9/$W$3))</f>
        <v>0</v>
      </c>
      <c r="Y9" s="472">
        <f ca="1">IF($U9="","",SUMPRODUCT(--(Lineups!$AB$4:$AB$79=$U9),--(Lineups!$X$4:$X$79="X")))</f>
        <v>0</v>
      </c>
      <c r="Z9" s="472">
        <f ca="1">IF($U9="","",SUMPRODUCT(--(Lineups!AE$4:AE$79=$U9),--(Lineups!W$4:W$79&lt;&gt;"SP")))</f>
        <v>1</v>
      </c>
      <c r="AA9" s="472">
        <f ca="1">IF($U9="","",SUMPRODUCT(--(Lineups!AH$4:AH$79=$U9),--(Lineups!W$4:W$79&lt;&gt;"SP")))</f>
        <v>0</v>
      </c>
      <c r="AB9" s="472">
        <f ca="1">IF($U9="","",SUMPRODUCT(--(Lineups!AK$4:AK$79=$U9),--(Lineups!W$4:W$79&lt;&gt;"SP")))</f>
        <v>3</v>
      </c>
      <c r="AC9" s="20">
        <f t="shared" ref="AC9:AC28" si="11">IF(U9="","",SUM(Y9:AB9))</f>
        <v>4</v>
      </c>
      <c r="AD9" s="464">
        <f t="shared" ref="AD9:AD28" si="12">IF($U9="","",IF($W$3=0,"",AC9/$W$3))</f>
        <v>0.16666666666666666</v>
      </c>
      <c r="AE9" s="20">
        <f t="shared" ref="AE9:AE28" si="13">IF(U9="","",SUM(W9,AC9))</f>
        <v>4</v>
      </c>
      <c r="AF9" s="464">
        <f t="shared" ref="AF9:AF28" si="14">IF($U9="","",IF($W$3=0,"",AE9/$W$3))</f>
        <v>0.16666666666666666</v>
      </c>
      <c r="AG9" s="469" t="str">
        <f ca="1">IF(U9="","",IF(OR(SK!U172="",SK!U172=0),"",SK!X172))</f>
        <v/>
      </c>
      <c r="AH9" s="20">
        <f ca="1">IF($U9="","",SUMPRODUCT(--(Lineups!Y$4:Y$79=$U9)))</f>
        <v>0</v>
      </c>
      <c r="AI9" s="464">
        <f t="shared" ref="AI9:AI28" si="15">IF($U9="","",IF($W$3=0,"",AH9/$W$3))</f>
        <v>0</v>
      </c>
      <c r="AJ9" s="20">
        <f t="shared" ref="AJ9:AJ28" si="16">IF(U9="","",SUM(AE9,AH9))</f>
        <v>4</v>
      </c>
      <c r="AK9" s="464">
        <f t="shared" ref="AK9:AK28" si="17">IF($U9="","",IF($W$3=0,"",AJ9/$W$3))</f>
        <v>0.16666666666666666</v>
      </c>
    </row>
    <row r="10" spans="1:37">
      <c r="A10" s="461">
        <f t="shared" si="0"/>
        <v>2</v>
      </c>
      <c r="B10" s="462" t="str">
        <f ca="1">IF(ISBLANK(IBRF!B12),"",IBRF!B12)</f>
        <v>181</v>
      </c>
      <c r="C10" s="462" t="str">
        <f ca="1">IF(ISBLANK(IBRF!C12),"",IBRF!C12)</f>
        <v>Vega Vendetta</v>
      </c>
      <c r="D10" s="463">
        <f ca="1">IF($B10="","",SUMPRODUCT(--(Lineups!$F$4:$F$79=$B10),--(Lineups!$B$4:$B$79="")))</f>
        <v>0</v>
      </c>
      <c r="E10" s="465">
        <f t="shared" si="1"/>
        <v>0</v>
      </c>
      <c r="F10" s="472">
        <f ca="1">IF($B10="","",SUMPRODUCT(--(Lineups!$F$4:$F$79=$B10),--(Lineups!$B$4:$B$79="X")))</f>
        <v>0</v>
      </c>
      <c r="G10" s="472">
        <f ca="1">IF($B10="","",SUMPRODUCT(--(Lineups!I$4:I$79=$B10),--(Lineups!A$4:A$79&lt;&gt;"SP")))</f>
        <v>5</v>
      </c>
      <c r="H10" s="472">
        <f ca="1">IF($B10="","",SUMPRODUCT(--(Lineups!L$4:L$79=$B10),--(Lineups!A$4:A$79&lt;&gt;"SP")))</f>
        <v>3</v>
      </c>
      <c r="I10" s="472">
        <f ca="1">IF($B10="","",SUMPRODUCT(--(Lineups!O$4:O$79=$B10),--(Lineups!A$4:A$79&lt;&gt;"SP")))</f>
        <v>0</v>
      </c>
      <c r="J10" s="463">
        <f t="shared" si="2"/>
        <v>8</v>
      </c>
      <c r="K10" s="465">
        <f t="shared" si="3"/>
        <v>0.33333333333333331</v>
      </c>
      <c r="L10" s="463">
        <f t="shared" si="4"/>
        <v>8</v>
      </c>
      <c r="M10" s="465">
        <f t="shared" si="5"/>
        <v>0.33333333333333331</v>
      </c>
      <c r="N10" s="470" t="str">
        <f ca="1">IF(B10="","",IF(OR(SK!E175="",SK!E175=0),"",SK!H175))</f>
        <v/>
      </c>
      <c r="O10" s="463">
        <f ca="1">IF($B10="","",SUMPRODUCT(--(Lineups!C$4:C$79=$B10)))</f>
        <v>0</v>
      </c>
      <c r="P10" s="465">
        <f t="shared" si="6"/>
        <v>0</v>
      </c>
      <c r="Q10" s="463">
        <f t="shared" si="7"/>
        <v>8</v>
      </c>
      <c r="R10" s="465">
        <f t="shared" si="8"/>
        <v>0.33333333333333331</v>
      </c>
      <c r="T10" s="461">
        <f t="shared" si="9"/>
        <v>2</v>
      </c>
      <c r="U10" s="462" t="str">
        <f ca="1">IF(ISBLANK(IBRF!H12),"",IBRF!H12)</f>
        <v>2¢</v>
      </c>
      <c r="V10" s="462" t="str">
        <f ca="1">IF(ISBLANK(IBRF!I12),"",IBRF!I12)</f>
        <v>Vera Toss</v>
      </c>
      <c r="W10" s="463">
        <f ca="1">IF($U10="","",SUMPRODUCT(--(Lineups!$AB$4:$AB$79=$U10),--(Lineups!$X$4:$X$79="")))</f>
        <v>0</v>
      </c>
      <c r="X10" s="465">
        <f t="shared" si="10"/>
        <v>0</v>
      </c>
      <c r="Y10" s="472">
        <f ca="1">IF($U10="","",SUMPRODUCT(--(Lineups!$AB$4:$AB$79=$U10),--(Lineups!$X$4:$X$79="X")))</f>
        <v>0</v>
      </c>
      <c r="Z10" s="472">
        <f ca="1">IF($U10="","",SUMPRODUCT(--(Lineups!AE$4:AE$79=$U10),--(Lineups!W$4:W$79&lt;&gt;"SP")))</f>
        <v>4</v>
      </c>
      <c r="AA10" s="472">
        <f ca="1">IF($U10="","",SUMPRODUCT(--(Lineups!AH$4:AH$79=$U10),--(Lineups!W$4:W$79&lt;&gt;"SP")))</f>
        <v>1</v>
      </c>
      <c r="AB10" s="472">
        <f ca="1">IF($U10="","",SUMPRODUCT(--(Lineups!AK$4:AK$79=$U10),--(Lineups!W$4:W$79&lt;&gt;"SP")))</f>
        <v>1</v>
      </c>
      <c r="AC10" s="463">
        <f t="shared" si="11"/>
        <v>6</v>
      </c>
      <c r="AD10" s="465">
        <f t="shared" si="12"/>
        <v>0.25</v>
      </c>
      <c r="AE10" s="463">
        <f t="shared" si="13"/>
        <v>6</v>
      </c>
      <c r="AF10" s="465">
        <f t="shared" si="14"/>
        <v>0.25</v>
      </c>
      <c r="AG10" s="470" t="str">
        <f ca="1">IF(U10="","",IF(OR(SK!U175="",SK!U175=0),"",SK!X175))</f>
        <v/>
      </c>
      <c r="AH10" s="463">
        <f ca="1">IF($U10="","",SUMPRODUCT(--(Lineups!Y$4:Y$79=$U10)))</f>
        <v>0</v>
      </c>
      <c r="AI10" s="465">
        <f t="shared" si="15"/>
        <v>0</v>
      </c>
      <c r="AJ10" s="463">
        <f t="shared" si="16"/>
        <v>6</v>
      </c>
      <c r="AK10" s="465">
        <f t="shared" si="17"/>
        <v>0.25</v>
      </c>
    </row>
    <row r="11" spans="1:37">
      <c r="A11" s="94">
        <f t="shared" si="0"/>
        <v>3</v>
      </c>
      <c r="B11" s="270" t="str">
        <f ca="1">IF(ISBLANK(IBRF!B13),"",IBRF!B13)</f>
        <v>1821</v>
      </c>
      <c r="C11" s="270" t="str">
        <f ca="1">IF(ISBLANK(IBRF!C13),"",IBRF!C13)</f>
        <v>Mexi-Go</v>
      </c>
      <c r="D11" s="20">
        <f ca="1">IF($B11="","",SUMPRODUCT(--(Lineups!$F$4:$F$79=$B11),--(Lineups!$B$4:$B$79="")))</f>
        <v>0</v>
      </c>
      <c r="E11" s="464">
        <f t="shared" si="1"/>
        <v>0</v>
      </c>
      <c r="F11" s="472">
        <f ca="1">IF($B11="","",SUMPRODUCT(--(Lineups!$F$4:$F$79=$B11),--(Lineups!$B$4:$B$79="X")))</f>
        <v>0</v>
      </c>
      <c r="G11" s="472">
        <f ca="1">IF($B11="","",SUMPRODUCT(--(Lineups!I$4:I$79=$B11),--(Lineups!A$4:A$79&lt;&gt;"SP")))</f>
        <v>2</v>
      </c>
      <c r="H11" s="472">
        <f ca="1">IF($B11="","",SUMPRODUCT(--(Lineups!L$4:L$79=$B11),--(Lineups!A$4:A$79&lt;&gt;"SP")))</f>
        <v>6</v>
      </c>
      <c r="I11" s="472">
        <f ca="1">IF($B11="","",SUMPRODUCT(--(Lineups!O$4:O$79=$B11),--(Lineups!A$4:A$79&lt;&gt;"SP")))</f>
        <v>1</v>
      </c>
      <c r="J11" s="20">
        <f t="shared" si="2"/>
        <v>9</v>
      </c>
      <c r="K11" s="464">
        <f t="shared" si="3"/>
        <v>0.375</v>
      </c>
      <c r="L11" s="20">
        <f t="shared" si="4"/>
        <v>9</v>
      </c>
      <c r="M11" s="464">
        <f t="shared" si="5"/>
        <v>0.375</v>
      </c>
      <c r="N11" s="469" t="str">
        <f ca="1">IF(B11="","",IF(OR(SK!E178="",SK!E178=0),"",SK!H178))</f>
        <v/>
      </c>
      <c r="O11" s="20">
        <f ca="1">IF($B11="","",SUMPRODUCT(--(Lineups!C$4:C$79=$B11)))</f>
        <v>0</v>
      </c>
      <c r="P11" s="464">
        <f t="shared" si="6"/>
        <v>0</v>
      </c>
      <c r="Q11" s="20">
        <f t="shared" si="7"/>
        <v>9</v>
      </c>
      <c r="R11" s="464">
        <f t="shared" si="8"/>
        <v>0.375</v>
      </c>
      <c r="T11" s="94">
        <f t="shared" si="9"/>
        <v>3</v>
      </c>
      <c r="U11" s="270" t="str">
        <f ca="1">IF(ISBLANK(IBRF!H13),"",IBRF!H13)</f>
        <v>24/7</v>
      </c>
      <c r="V11" s="270" t="str">
        <f ca="1">IF(ISBLANK(IBRF!I13),"",IBRF!I13)</f>
        <v>boo d. livers</v>
      </c>
      <c r="W11" s="20">
        <f ca="1">IF($U11="","",SUMPRODUCT(--(Lineups!$AB$4:$AB$79=$U11),--(Lineups!$X$4:$X$79="")))</f>
        <v>0</v>
      </c>
      <c r="X11" s="464">
        <f t="shared" si="10"/>
        <v>0</v>
      </c>
      <c r="Y11" s="472">
        <f ca="1">IF($U11="","",SUMPRODUCT(--(Lineups!$AB$4:$AB$79=$U11),--(Lineups!$X$4:$X$79="X")))</f>
        <v>0</v>
      </c>
      <c r="Z11" s="472">
        <f ca="1">IF($U11="","",SUMPRODUCT(--(Lineups!AE$4:AE$79=$U11),--(Lineups!W$4:W$79&lt;&gt;"SP")))</f>
        <v>4</v>
      </c>
      <c r="AA11" s="472">
        <f ca="1">IF($U11="","",SUMPRODUCT(--(Lineups!AH$4:AH$79=$U11),--(Lineups!W$4:W$79&lt;&gt;"SP")))</f>
        <v>2</v>
      </c>
      <c r="AB11" s="472">
        <f ca="1">IF($U11="","",SUMPRODUCT(--(Lineups!AK$4:AK$79=$U11),--(Lineups!W$4:W$79&lt;&gt;"SP")))</f>
        <v>6</v>
      </c>
      <c r="AC11" s="20">
        <f t="shared" si="11"/>
        <v>12</v>
      </c>
      <c r="AD11" s="464">
        <f t="shared" si="12"/>
        <v>0.5</v>
      </c>
      <c r="AE11" s="20">
        <f t="shared" si="13"/>
        <v>12</v>
      </c>
      <c r="AF11" s="464">
        <f t="shared" si="14"/>
        <v>0.5</v>
      </c>
      <c r="AG11" s="469">
        <f ca="1">IF(U11="","",IF(OR(SK!U178="",SK!U178=0),"",SK!X178))</f>
        <v>0</v>
      </c>
      <c r="AH11" s="20">
        <f ca="1">IF($U11="","",SUMPRODUCT(--(Lineups!Y$4:Y$79=$U11)))</f>
        <v>1</v>
      </c>
      <c r="AI11" s="464">
        <f t="shared" si="15"/>
        <v>4.1666666666666664E-2</v>
      </c>
      <c r="AJ11" s="20">
        <f t="shared" si="16"/>
        <v>13</v>
      </c>
      <c r="AK11" s="464">
        <f t="shared" si="17"/>
        <v>0.54166666666666663</v>
      </c>
    </row>
    <row r="12" spans="1:37">
      <c r="A12" s="461">
        <f t="shared" si="0"/>
        <v>4</v>
      </c>
      <c r="B12" s="462" t="str">
        <f ca="1">IF(ISBLANK(IBRF!B14),"",IBRF!B14)</f>
        <v>187</v>
      </c>
      <c r="C12" s="462" t="str">
        <f ca="1">IF(ISBLANK(IBRF!C14),"",IBRF!C14)</f>
        <v>VeroniKILL</v>
      </c>
      <c r="D12" s="463">
        <f ca="1">IF($B12="","",SUMPRODUCT(--(Lineups!$F$4:$F$79=$B12),--(Lineups!$B$4:$B$79="")))</f>
        <v>0</v>
      </c>
      <c r="E12" s="465">
        <f t="shared" si="1"/>
        <v>0</v>
      </c>
      <c r="F12" s="472">
        <f ca="1">IF($B12="","",SUMPRODUCT(--(Lineups!$F$4:$F$79=$B12),--(Lineups!$B$4:$B$79="X")))</f>
        <v>0</v>
      </c>
      <c r="G12" s="472">
        <f ca="1">IF($B12="","",SUMPRODUCT(--(Lineups!I$4:I$79=$B12),--(Lineups!A$4:A$79&lt;&gt;"SP")))</f>
        <v>3</v>
      </c>
      <c r="H12" s="472">
        <f ca="1">IF($B12="","",SUMPRODUCT(--(Lineups!L$4:L$79=$B12),--(Lineups!A$4:A$79&lt;&gt;"SP")))</f>
        <v>2</v>
      </c>
      <c r="I12" s="472">
        <f ca="1">IF($B12="","",SUMPRODUCT(--(Lineups!O$4:O$79=$B12),--(Lineups!A$4:A$79&lt;&gt;"SP")))</f>
        <v>3</v>
      </c>
      <c r="J12" s="463">
        <f t="shared" si="2"/>
        <v>8</v>
      </c>
      <c r="K12" s="465">
        <f t="shared" si="3"/>
        <v>0.33333333333333331</v>
      </c>
      <c r="L12" s="463">
        <f t="shared" si="4"/>
        <v>8</v>
      </c>
      <c r="M12" s="465">
        <f t="shared" si="5"/>
        <v>0.33333333333333331</v>
      </c>
      <c r="N12" s="470" t="str">
        <f ca="1">IF(B12="","",IF(OR(SK!E181="",SK!E181=0),"",SK!H181))</f>
        <v/>
      </c>
      <c r="O12" s="463">
        <f ca="1">IF($B12="","",SUMPRODUCT(--(Lineups!C$4:C$79=$B12)))</f>
        <v>0</v>
      </c>
      <c r="P12" s="465">
        <f t="shared" si="6"/>
        <v>0</v>
      </c>
      <c r="Q12" s="463">
        <f t="shared" si="7"/>
        <v>8</v>
      </c>
      <c r="R12" s="465">
        <f t="shared" si="8"/>
        <v>0.33333333333333331</v>
      </c>
      <c r="T12" s="461">
        <f t="shared" si="9"/>
        <v>4</v>
      </c>
      <c r="U12" s="462" t="str">
        <f ca="1">IF(ISBLANK(IBRF!H14),"",IBRF!H14)</f>
        <v>27</v>
      </c>
      <c r="V12" s="462" t="str">
        <f ca="1">IF(ISBLANK(IBRF!I14),"",IBRF!I14)</f>
        <v>A.O. Lesgo</v>
      </c>
      <c r="W12" s="463">
        <f ca="1">IF($U12="","",SUMPRODUCT(--(Lineups!$AB$4:$AB$79=$U12),--(Lineups!$X$4:$X$79="")))</f>
        <v>0</v>
      </c>
      <c r="X12" s="465">
        <f t="shared" si="10"/>
        <v>0</v>
      </c>
      <c r="Y12" s="472">
        <f ca="1">IF($U12="","",SUMPRODUCT(--(Lineups!$AB$4:$AB$79=$U12),--(Lineups!$X$4:$X$79="X")))</f>
        <v>0</v>
      </c>
      <c r="Z12" s="472">
        <f ca="1">IF($U12="","",SUMPRODUCT(--(Lineups!AE$4:AE$79=$U12),--(Lineups!W$4:W$79&lt;&gt;"SP")))</f>
        <v>1</v>
      </c>
      <c r="AA12" s="472">
        <f ca="1">IF($U12="","",SUMPRODUCT(--(Lineups!AH$4:AH$79=$U12),--(Lineups!W$4:W$79&lt;&gt;"SP")))</f>
        <v>6</v>
      </c>
      <c r="AB12" s="472">
        <f ca="1">IF($U12="","",SUMPRODUCT(--(Lineups!AK$4:AK$79=$U12),--(Lineups!W$4:W$79&lt;&gt;"SP")))</f>
        <v>2</v>
      </c>
      <c r="AC12" s="463">
        <f t="shared" si="11"/>
        <v>9</v>
      </c>
      <c r="AD12" s="465">
        <f t="shared" si="12"/>
        <v>0.375</v>
      </c>
      <c r="AE12" s="463">
        <f t="shared" si="13"/>
        <v>9</v>
      </c>
      <c r="AF12" s="465">
        <f t="shared" si="14"/>
        <v>0.375</v>
      </c>
      <c r="AG12" s="470" t="str">
        <f ca="1">IF(U12="","",IF(OR(SK!U181="",SK!U181=0),"",SK!X181))</f>
        <v/>
      </c>
      <c r="AH12" s="463">
        <f ca="1">IF($U12="","",SUMPRODUCT(--(Lineups!Y$4:Y$79=$U12)))</f>
        <v>0</v>
      </c>
      <c r="AI12" s="465">
        <f t="shared" si="15"/>
        <v>0</v>
      </c>
      <c r="AJ12" s="463">
        <f t="shared" si="16"/>
        <v>9</v>
      </c>
      <c r="AK12" s="465">
        <f t="shared" si="17"/>
        <v>0.375</v>
      </c>
    </row>
    <row r="13" spans="1:37">
      <c r="A13" s="94">
        <f t="shared" si="0"/>
        <v>5</v>
      </c>
      <c r="B13" s="270" t="str">
        <f ca="1">IF(ISBLANK(IBRF!B15),"",IBRF!B15)</f>
        <v>1879</v>
      </c>
      <c r="C13" s="270" t="str">
        <f ca="1">IF(ISBLANK(IBRF!C15),"",IBRF!C15)</f>
        <v>Belle Isle Hurtya</v>
      </c>
      <c r="D13" s="20">
        <f ca="1">IF($B13="","",SUMPRODUCT(--(Lineups!$F$4:$F$79=$B13),--(Lineups!$B$4:$B$79="")))</f>
        <v>0</v>
      </c>
      <c r="E13" s="464">
        <f t="shared" si="1"/>
        <v>0</v>
      </c>
      <c r="F13" s="472">
        <f ca="1">IF($B13="","",SUMPRODUCT(--(Lineups!$F$4:$F$79=$B13),--(Lineups!$B$4:$B$79="X")))</f>
        <v>0</v>
      </c>
      <c r="G13" s="472">
        <f ca="1">IF($B13="","",SUMPRODUCT(--(Lineups!I$4:I$79=$B13),--(Lineups!A$4:A$79&lt;&gt;"SP")))</f>
        <v>3</v>
      </c>
      <c r="H13" s="472">
        <f ca="1">IF($B13="","",SUMPRODUCT(--(Lineups!L$4:L$79=$B13),--(Lineups!A$4:A$79&lt;&gt;"SP")))</f>
        <v>2</v>
      </c>
      <c r="I13" s="472">
        <f ca="1">IF($B13="","",SUMPRODUCT(--(Lineups!O$4:O$79=$B13),--(Lineups!A$4:A$79&lt;&gt;"SP")))</f>
        <v>2</v>
      </c>
      <c r="J13" s="20">
        <f t="shared" si="2"/>
        <v>7</v>
      </c>
      <c r="K13" s="464">
        <f t="shared" si="3"/>
        <v>0.29166666666666669</v>
      </c>
      <c r="L13" s="20">
        <f t="shared" si="4"/>
        <v>7</v>
      </c>
      <c r="M13" s="464">
        <f t="shared" si="5"/>
        <v>0.29166666666666669</v>
      </c>
      <c r="N13" s="469" t="str">
        <f ca="1">IF(B13="","",IF(OR(SK!E184="",SK!E184=0),"",SK!H184))</f>
        <v/>
      </c>
      <c r="O13" s="20">
        <f ca="1">IF($B13="","",SUMPRODUCT(--(Lineups!C$4:C$79=$B13)))</f>
        <v>0</v>
      </c>
      <c r="P13" s="464">
        <f t="shared" si="6"/>
        <v>0</v>
      </c>
      <c r="Q13" s="20">
        <f t="shared" si="7"/>
        <v>7</v>
      </c>
      <c r="R13" s="464">
        <f t="shared" si="8"/>
        <v>0.29166666666666669</v>
      </c>
      <c r="T13" s="94">
        <f t="shared" si="9"/>
        <v>5</v>
      </c>
      <c r="U13" s="270" t="str">
        <f ca="1">IF(ISBLANK(IBRF!H15),"",IBRF!H15)</f>
        <v>38DD</v>
      </c>
      <c r="V13" s="270" t="str">
        <f ca="1">IF(ISBLANK(IBRF!I15),"",IBRF!I15)</f>
        <v>Tig O' Hitties</v>
      </c>
      <c r="W13" s="20">
        <f ca="1">IF($U13="","",SUMPRODUCT(--(Lineups!$AB$4:$AB$79=$U13),--(Lineups!$X$4:$X$79="")))</f>
        <v>0</v>
      </c>
      <c r="X13" s="464">
        <f t="shared" si="10"/>
        <v>0</v>
      </c>
      <c r="Y13" s="472">
        <f ca="1">IF($U13="","",SUMPRODUCT(--(Lineups!$AB$4:$AB$79=$U13),--(Lineups!$X$4:$X$79="X")))</f>
        <v>0</v>
      </c>
      <c r="Z13" s="472">
        <f ca="1">IF($U13="","",SUMPRODUCT(--(Lineups!AE$4:AE$79=$U13),--(Lineups!W$4:W$79&lt;&gt;"SP")))</f>
        <v>2</v>
      </c>
      <c r="AA13" s="472">
        <f ca="1">IF($U13="","",SUMPRODUCT(--(Lineups!AH$4:AH$79=$U13),--(Lineups!W$4:W$79&lt;&gt;"SP")))</f>
        <v>5</v>
      </c>
      <c r="AB13" s="472">
        <f ca="1">IF($U13="","",SUMPRODUCT(--(Lineups!AK$4:AK$79=$U13),--(Lineups!W$4:W$79&lt;&gt;"SP")))</f>
        <v>1</v>
      </c>
      <c r="AC13" s="20">
        <f t="shared" si="11"/>
        <v>8</v>
      </c>
      <c r="AD13" s="464">
        <f t="shared" si="12"/>
        <v>0.33333333333333331</v>
      </c>
      <c r="AE13" s="20">
        <f t="shared" si="13"/>
        <v>8</v>
      </c>
      <c r="AF13" s="464">
        <f t="shared" si="14"/>
        <v>0.33333333333333331</v>
      </c>
      <c r="AG13" s="469" t="str">
        <f ca="1">IF(U13="","",IF(OR(SK!U184="",SK!U184=0),"",SK!X184))</f>
        <v/>
      </c>
      <c r="AH13" s="20">
        <f ca="1">IF($U13="","",SUMPRODUCT(--(Lineups!Y$4:Y$79=$U13)))</f>
        <v>0</v>
      </c>
      <c r="AI13" s="464">
        <f t="shared" si="15"/>
        <v>0</v>
      </c>
      <c r="AJ13" s="20">
        <f t="shared" si="16"/>
        <v>8</v>
      </c>
      <c r="AK13" s="464">
        <f t="shared" si="17"/>
        <v>0.33333333333333331</v>
      </c>
    </row>
    <row r="14" spans="1:37">
      <c r="A14" s="461">
        <f t="shared" si="0"/>
        <v>6</v>
      </c>
      <c r="B14" s="462" t="str">
        <f ca="1">IF(ISBLANK(IBRF!B16),"",IBRF!B16)</f>
        <v>20</v>
      </c>
      <c r="C14" s="462" t="str">
        <f ca="1">IF(ISBLANK(IBRF!C16),"",IBRF!C16)</f>
        <v>Devil Kitty</v>
      </c>
      <c r="D14" s="463">
        <f ca="1">IF($B14="","",SUMPRODUCT(--(Lineups!$F$4:$F$79=$B14),--(Lineups!$B$4:$B$79="")))</f>
        <v>7</v>
      </c>
      <c r="E14" s="465">
        <f t="shared" si="1"/>
        <v>0.29166666666666669</v>
      </c>
      <c r="F14" s="472">
        <f ca="1">IF($B14="","",SUMPRODUCT(--(Lineups!$F$4:$F$79=$B14),--(Lineups!$B$4:$B$79="X")))</f>
        <v>0</v>
      </c>
      <c r="G14" s="472">
        <f ca="1">IF($B14="","",SUMPRODUCT(--(Lineups!I$4:I$79=$B14),--(Lineups!A$4:A$79&lt;&gt;"SP")))</f>
        <v>0</v>
      </c>
      <c r="H14" s="472">
        <f ca="1">IF($B14="","",SUMPRODUCT(--(Lineups!L$4:L$79=$B14),--(Lineups!A$4:A$79&lt;&gt;"SP")))</f>
        <v>0</v>
      </c>
      <c r="I14" s="472">
        <f ca="1">IF($B14="","",SUMPRODUCT(--(Lineups!O$4:O$79=$B14),--(Lineups!A$4:A$79&lt;&gt;"SP")))</f>
        <v>0</v>
      </c>
      <c r="J14" s="463">
        <f t="shared" si="2"/>
        <v>0</v>
      </c>
      <c r="K14" s="465">
        <f t="shared" si="3"/>
        <v>0</v>
      </c>
      <c r="L14" s="463">
        <f t="shared" si="4"/>
        <v>7</v>
      </c>
      <c r="M14" s="465">
        <f t="shared" si="5"/>
        <v>0.29166666666666669</v>
      </c>
      <c r="N14" s="470" t="str">
        <f ca="1">IF(B14="","",IF(OR(SK!E187="",SK!E187=0),"",SK!H187))</f>
        <v/>
      </c>
      <c r="O14" s="463">
        <f ca="1">IF($B14="","",SUMPRODUCT(--(Lineups!C$4:C$79=$B14)))</f>
        <v>0</v>
      </c>
      <c r="P14" s="465">
        <f t="shared" si="6"/>
        <v>0</v>
      </c>
      <c r="Q14" s="463">
        <f t="shared" si="7"/>
        <v>7</v>
      </c>
      <c r="R14" s="465">
        <f t="shared" si="8"/>
        <v>0.29166666666666669</v>
      </c>
      <c r="T14" s="461">
        <f t="shared" si="9"/>
        <v>6</v>
      </c>
      <c r="U14" s="462" t="str">
        <f ca="1">IF(ISBLANK(IBRF!H16),"",IBRF!H16)</f>
        <v>42</v>
      </c>
      <c r="V14" s="462" t="str">
        <f ca="1">IF(ISBLANK(IBRF!I16),"",IBRF!I16)</f>
        <v>Midnite Vulture</v>
      </c>
      <c r="W14" s="463">
        <f ca="1">IF($U14="","",SUMPRODUCT(--(Lineups!$AB$4:$AB$79=$U14),--(Lineups!$X$4:$X$79="")))</f>
        <v>0</v>
      </c>
      <c r="X14" s="465">
        <f t="shared" si="10"/>
        <v>0</v>
      </c>
      <c r="Y14" s="472">
        <f ca="1">IF($U14="","",SUMPRODUCT(--(Lineups!$AB$4:$AB$79=$U14),--(Lineups!$X$4:$X$79="X")))</f>
        <v>0</v>
      </c>
      <c r="Z14" s="472">
        <f ca="1">IF($U14="","",SUMPRODUCT(--(Lineups!AE$4:AE$79=$U14),--(Lineups!W$4:W$79&lt;&gt;"SP")))</f>
        <v>0</v>
      </c>
      <c r="AA14" s="472">
        <f ca="1">IF($U14="","",SUMPRODUCT(--(Lineups!AH$4:AH$79=$U14),--(Lineups!W$4:W$79&lt;&gt;"SP")))</f>
        <v>2</v>
      </c>
      <c r="AB14" s="472">
        <f ca="1">IF($U14="","",SUMPRODUCT(--(Lineups!AK$4:AK$79=$U14),--(Lineups!W$4:W$79&lt;&gt;"SP")))</f>
        <v>3</v>
      </c>
      <c r="AC14" s="463">
        <f t="shared" si="11"/>
        <v>5</v>
      </c>
      <c r="AD14" s="465">
        <f t="shared" si="12"/>
        <v>0.20833333333333334</v>
      </c>
      <c r="AE14" s="463">
        <f t="shared" si="13"/>
        <v>5</v>
      </c>
      <c r="AF14" s="465">
        <f t="shared" si="14"/>
        <v>0.20833333333333334</v>
      </c>
      <c r="AG14" s="470">
        <f ca="1">IF(U14="","",IF(OR(SK!U187="",SK!U187=0),"",SK!X187))</f>
        <v>0</v>
      </c>
      <c r="AH14" s="463">
        <f ca="1">IF($U14="","",SUMPRODUCT(--(Lineups!Y$4:Y$79=$U14)))</f>
        <v>1</v>
      </c>
      <c r="AI14" s="465">
        <f t="shared" si="15"/>
        <v>4.1666666666666664E-2</v>
      </c>
      <c r="AJ14" s="463">
        <f t="shared" si="16"/>
        <v>6</v>
      </c>
      <c r="AK14" s="465">
        <f t="shared" si="17"/>
        <v>0.25</v>
      </c>
    </row>
    <row r="15" spans="1:37">
      <c r="A15" s="94">
        <f t="shared" si="0"/>
        <v>7</v>
      </c>
      <c r="B15" s="270" t="str">
        <f ca="1">IF(ISBLANK(IBRF!B17),"",IBRF!B17)</f>
        <v>20KN</v>
      </c>
      <c r="C15" s="270" t="str">
        <f ca="1">IF(ISBLANK(IBRF!C17),"",IBRF!C17)</f>
        <v>Kraken Whips</v>
      </c>
      <c r="D15" s="20">
        <f ca="1">IF($B15="","",SUMPRODUCT(--(Lineups!$F$4:$F$79=$B15),--(Lineups!$B$4:$B$79="")))</f>
        <v>0</v>
      </c>
      <c r="E15" s="464">
        <f t="shared" si="1"/>
        <v>0</v>
      </c>
      <c r="F15" s="472">
        <f ca="1">IF($B15="","",SUMPRODUCT(--(Lineups!$F$4:$F$79=$B15),--(Lineups!$B$4:$B$79="X")))</f>
        <v>0</v>
      </c>
      <c r="G15" s="472">
        <f ca="1">IF($B15="","",SUMPRODUCT(--(Lineups!I$4:I$79=$B15),--(Lineups!A$4:A$79&lt;&gt;"SP")))</f>
        <v>0</v>
      </c>
      <c r="H15" s="472">
        <f ca="1">IF($B15="","",SUMPRODUCT(--(Lineups!L$4:L$79=$B15),--(Lineups!A$4:A$79&lt;&gt;"SP")))</f>
        <v>1</v>
      </c>
      <c r="I15" s="472">
        <f ca="1">IF($B15="","",SUMPRODUCT(--(Lineups!O$4:O$79=$B15),--(Lineups!A$4:A$79&lt;&gt;"SP")))</f>
        <v>0</v>
      </c>
      <c r="J15" s="20">
        <f t="shared" si="2"/>
        <v>1</v>
      </c>
      <c r="K15" s="464">
        <f t="shared" si="3"/>
        <v>4.1666666666666664E-2</v>
      </c>
      <c r="L15" s="20">
        <f t="shared" si="4"/>
        <v>1</v>
      </c>
      <c r="M15" s="464">
        <f t="shared" si="5"/>
        <v>4.1666666666666664E-2</v>
      </c>
      <c r="N15" s="469">
        <f ca="1">IF(B15="","",IF(OR(SK!E190="",SK!E190=0),"",SK!H190))</f>
        <v>5</v>
      </c>
      <c r="O15" s="20">
        <f ca="1">IF($B15="","",SUMPRODUCT(--(Lineups!C$4:C$79=$B15)))</f>
        <v>6</v>
      </c>
      <c r="P15" s="464">
        <f t="shared" si="6"/>
        <v>0.25</v>
      </c>
      <c r="Q15" s="20">
        <f t="shared" si="7"/>
        <v>7</v>
      </c>
      <c r="R15" s="464">
        <f t="shared" si="8"/>
        <v>0.29166666666666669</v>
      </c>
      <c r="T15" s="94">
        <f t="shared" si="9"/>
        <v>7</v>
      </c>
      <c r="U15" s="270" t="str">
        <f ca="1">IF(ISBLANK(IBRF!H17),"",IBRF!H17)</f>
        <v>50</v>
      </c>
      <c r="V15" s="270" t="str">
        <f ca="1">IF(ISBLANK(IBRF!I17),"",IBRF!I17)</f>
        <v>Sam-I-Slam</v>
      </c>
      <c r="W15" s="20">
        <f ca="1">IF($U15="","",SUMPRODUCT(--(Lineups!$AB$4:$AB$79=$U15),--(Lineups!$X$4:$X$79="")))</f>
        <v>1</v>
      </c>
      <c r="X15" s="464">
        <f t="shared" si="10"/>
        <v>4.1666666666666664E-2</v>
      </c>
      <c r="Y15" s="472">
        <f ca="1">IF($U15="","",SUMPRODUCT(--(Lineups!$AB$4:$AB$79=$U15),--(Lineups!$X$4:$X$79="X")))</f>
        <v>0</v>
      </c>
      <c r="Z15" s="472">
        <f ca="1">IF($U15="","",SUMPRODUCT(--(Lineups!AE$4:AE$79=$U15),--(Lineups!W$4:W$79&lt;&gt;"SP")))</f>
        <v>0</v>
      </c>
      <c r="AA15" s="472">
        <f ca="1">IF($U15="","",SUMPRODUCT(--(Lineups!AH$4:AH$79=$U15),--(Lineups!W$4:W$79&lt;&gt;"SP")))</f>
        <v>0</v>
      </c>
      <c r="AB15" s="472">
        <f ca="1">IF($U15="","",SUMPRODUCT(--(Lineups!AK$4:AK$79=$U15),--(Lineups!W$4:W$79&lt;&gt;"SP")))</f>
        <v>0</v>
      </c>
      <c r="AC15" s="20">
        <f t="shared" si="11"/>
        <v>0</v>
      </c>
      <c r="AD15" s="464">
        <f t="shared" si="12"/>
        <v>0</v>
      </c>
      <c r="AE15" s="20">
        <f t="shared" si="13"/>
        <v>1</v>
      </c>
      <c r="AF15" s="464">
        <f t="shared" si="14"/>
        <v>4.1666666666666664E-2</v>
      </c>
      <c r="AG15" s="469">
        <f ca="1">IF(U15="","",IF(OR(SK!U190="",SK!U190=0),"",SK!X190))</f>
        <v>1</v>
      </c>
      <c r="AH15" s="20">
        <f ca="1">IF($U15="","",SUMPRODUCT(--(Lineups!Y$4:Y$79=$U15)))</f>
        <v>6</v>
      </c>
      <c r="AI15" s="464">
        <f t="shared" si="15"/>
        <v>0.25</v>
      </c>
      <c r="AJ15" s="20">
        <f t="shared" si="16"/>
        <v>7</v>
      </c>
      <c r="AK15" s="464">
        <f t="shared" si="17"/>
        <v>0.29166666666666669</v>
      </c>
    </row>
    <row r="16" spans="1:37">
      <c r="A16" s="461">
        <f t="shared" si="0"/>
        <v>8</v>
      </c>
      <c r="B16" s="462" t="str">
        <f ca="1">IF(ISBLANK(IBRF!B18),"",IBRF!B18)</f>
        <v>212</v>
      </c>
      <c r="C16" s="462" t="str">
        <f ca="1">IF(ISBLANK(IBRF!C18),"",IBRF!C18)</f>
        <v>Wham!tramck</v>
      </c>
      <c r="D16" s="463">
        <f ca="1">IF($B16="","",SUMPRODUCT(--(Lineups!$F$4:$F$79=$B16),--(Lineups!$B$4:$B$79="")))</f>
        <v>0</v>
      </c>
      <c r="E16" s="465">
        <f t="shared" si="1"/>
        <v>0</v>
      </c>
      <c r="F16" s="472">
        <f ca="1">IF($B16="","",SUMPRODUCT(--(Lineups!$F$4:$F$79=$B16),--(Lineups!$B$4:$B$79="X")))</f>
        <v>0</v>
      </c>
      <c r="G16" s="472">
        <f ca="1">IF($B16="","",SUMPRODUCT(--(Lineups!I$4:I$79=$B16),--(Lineups!A$4:A$79&lt;&gt;"SP")))</f>
        <v>4</v>
      </c>
      <c r="H16" s="472">
        <f ca="1">IF($B16="","",SUMPRODUCT(--(Lineups!L$4:L$79=$B16),--(Lineups!A$4:A$79&lt;&gt;"SP")))</f>
        <v>1</v>
      </c>
      <c r="I16" s="472">
        <f ca="1">IF($B16="","",SUMPRODUCT(--(Lineups!O$4:O$79=$B16),--(Lineups!A$4:A$79&lt;&gt;"SP")))</f>
        <v>5</v>
      </c>
      <c r="J16" s="463">
        <f t="shared" si="2"/>
        <v>10</v>
      </c>
      <c r="K16" s="465">
        <f t="shared" si="3"/>
        <v>0.41666666666666669</v>
      </c>
      <c r="L16" s="463">
        <f t="shared" si="4"/>
        <v>10</v>
      </c>
      <c r="M16" s="465">
        <f t="shared" si="5"/>
        <v>0.41666666666666669</v>
      </c>
      <c r="N16" s="470" t="str">
        <f ca="1">IF(B16="","",IF(OR(SK!E193="",SK!E193=0),"",SK!H193))</f>
        <v/>
      </c>
      <c r="O16" s="463">
        <f ca="1">IF($B16="","",SUMPRODUCT(--(Lineups!C$4:C$79=$B16)))</f>
        <v>0</v>
      </c>
      <c r="P16" s="465">
        <f t="shared" si="6"/>
        <v>0</v>
      </c>
      <c r="Q16" s="463">
        <f t="shared" si="7"/>
        <v>10</v>
      </c>
      <c r="R16" s="465">
        <f t="shared" si="8"/>
        <v>0.41666666666666669</v>
      </c>
      <c r="T16" s="461">
        <f t="shared" si="9"/>
        <v>8</v>
      </c>
      <c r="U16" s="462" t="str">
        <f ca="1">IF(ISBLANK(IBRF!H18),"",IBRF!H18)</f>
        <v>620</v>
      </c>
      <c r="V16" s="462" t="str">
        <f ca="1">IF(ISBLANK(IBRF!I18),"",IBRF!I18)</f>
        <v>Lazer Beam</v>
      </c>
      <c r="W16" s="463">
        <f ca="1">IF($U16="","",SUMPRODUCT(--(Lineups!$AB$4:$AB$79=$U16),--(Lineups!$X$4:$X$79="")))</f>
        <v>0</v>
      </c>
      <c r="X16" s="465">
        <f t="shared" si="10"/>
        <v>0</v>
      </c>
      <c r="Y16" s="472">
        <f ca="1">IF($U16="","",SUMPRODUCT(--(Lineups!$AB$4:$AB$79=$U16),--(Lineups!$X$4:$X$79="X")))</f>
        <v>0</v>
      </c>
      <c r="Z16" s="472">
        <f ca="1">IF($U16="","",SUMPRODUCT(--(Lineups!AE$4:AE$79=$U16),--(Lineups!W$4:W$79&lt;&gt;"SP")))</f>
        <v>0</v>
      </c>
      <c r="AA16" s="472">
        <f ca="1">IF($U16="","",SUMPRODUCT(--(Lineups!AH$4:AH$79=$U16),--(Lineups!W$4:W$79&lt;&gt;"SP")))</f>
        <v>0</v>
      </c>
      <c r="AB16" s="472">
        <f ca="1">IF($U16="","",SUMPRODUCT(--(Lineups!AK$4:AK$79=$U16),--(Lineups!W$4:W$79&lt;&gt;"SP")))</f>
        <v>0</v>
      </c>
      <c r="AC16" s="463">
        <f t="shared" si="11"/>
        <v>0</v>
      </c>
      <c r="AD16" s="465">
        <f t="shared" si="12"/>
        <v>0</v>
      </c>
      <c r="AE16" s="463">
        <f t="shared" si="13"/>
        <v>0</v>
      </c>
      <c r="AF16" s="465">
        <f t="shared" si="14"/>
        <v>0</v>
      </c>
      <c r="AG16" s="470">
        <f ca="1">IF(U16="","",IF(OR(SK!U193="",SK!U193=0),"",SK!X193))</f>
        <v>5</v>
      </c>
      <c r="AH16" s="463">
        <f ca="1">IF($U16="","",SUMPRODUCT(--(Lineups!Y$4:Y$79=$U16)))</f>
        <v>8</v>
      </c>
      <c r="AI16" s="465">
        <f t="shared" si="15"/>
        <v>0.33333333333333331</v>
      </c>
      <c r="AJ16" s="463">
        <f t="shared" si="16"/>
        <v>8</v>
      </c>
      <c r="AK16" s="465">
        <f t="shared" si="17"/>
        <v>0.33333333333333331</v>
      </c>
    </row>
    <row r="17" spans="1:37">
      <c r="A17" s="94">
        <f t="shared" si="0"/>
        <v>9</v>
      </c>
      <c r="B17" s="270" t="str">
        <f ca="1">IF(ISBLANK(IBRF!B19),"",IBRF!B19)</f>
        <v>33 1/3</v>
      </c>
      <c r="C17" s="270" t="str">
        <f ca="1">IF(ISBLANK(IBRF!C19),"",IBRF!C19)</f>
        <v>Cookie Rumble</v>
      </c>
      <c r="D17" s="20">
        <f ca="1">IF($B17="","",SUMPRODUCT(--(Lineups!$F$4:$F$79=$B17),--(Lineups!$B$4:$B$79="")))</f>
        <v>2</v>
      </c>
      <c r="E17" s="464">
        <f t="shared" si="1"/>
        <v>8.3333333333333329E-2</v>
      </c>
      <c r="F17" s="472">
        <f ca="1">IF($B17="","",SUMPRODUCT(--(Lineups!$F$4:$F$79=$B17),--(Lineups!$B$4:$B$79="X")))</f>
        <v>0</v>
      </c>
      <c r="G17" s="472">
        <f ca="1">IF($B17="","",SUMPRODUCT(--(Lineups!I$4:I$79=$B17),--(Lineups!A$4:A$79&lt;&gt;"SP")))</f>
        <v>0</v>
      </c>
      <c r="H17" s="472">
        <f ca="1">IF($B17="","",SUMPRODUCT(--(Lineups!L$4:L$79=$B17),--(Lineups!A$4:A$79&lt;&gt;"SP")))</f>
        <v>1</v>
      </c>
      <c r="I17" s="472">
        <f ca="1">IF($B17="","",SUMPRODUCT(--(Lineups!O$4:O$79=$B17),--(Lineups!A$4:A$79&lt;&gt;"SP")))</f>
        <v>5</v>
      </c>
      <c r="J17" s="20">
        <f t="shared" si="2"/>
        <v>6</v>
      </c>
      <c r="K17" s="464">
        <f t="shared" si="3"/>
        <v>0.25</v>
      </c>
      <c r="L17" s="20">
        <f t="shared" si="4"/>
        <v>8</v>
      </c>
      <c r="M17" s="464">
        <f t="shared" si="5"/>
        <v>0.33333333333333331</v>
      </c>
      <c r="N17" s="469">
        <f ca="1">IF(B17="","",IF(OR(SK!E196="",SK!E196=0),"",SK!H196))</f>
        <v>2</v>
      </c>
      <c r="O17" s="20">
        <f ca="1">IF($B17="","",SUMPRODUCT(--(Lineups!C$4:C$79=$B17)))</f>
        <v>5</v>
      </c>
      <c r="P17" s="464">
        <f t="shared" si="6"/>
        <v>0.20833333333333334</v>
      </c>
      <c r="Q17" s="20">
        <f t="shared" si="7"/>
        <v>13</v>
      </c>
      <c r="R17" s="464">
        <f t="shared" si="8"/>
        <v>0.54166666666666663</v>
      </c>
      <c r="T17" s="94">
        <f t="shared" si="9"/>
        <v>9</v>
      </c>
      <c r="U17" s="270" t="str">
        <f ca="1">IF(ISBLANK(IBRF!H19),"",IBRF!H19)</f>
        <v>7</v>
      </c>
      <c r="V17" s="270" t="str">
        <f ca="1">IF(ISBLANK(IBRF!I19),"",IBRF!I19)</f>
        <v>CottonCandy Princess</v>
      </c>
      <c r="W17" s="20">
        <f ca="1">IF($U17="","",SUMPRODUCT(--(Lineups!$AB$4:$AB$79=$U17),--(Lineups!$X$4:$X$79="")))</f>
        <v>5</v>
      </c>
      <c r="X17" s="464">
        <f t="shared" si="10"/>
        <v>0.20833333333333334</v>
      </c>
      <c r="Y17" s="472">
        <f ca="1">IF($U17="","",SUMPRODUCT(--(Lineups!$AB$4:$AB$79=$U17),--(Lineups!$X$4:$X$79="X")))</f>
        <v>1</v>
      </c>
      <c r="Z17" s="472">
        <f ca="1">IF($U17="","",SUMPRODUCT(--(Lineups!AE$4:AE$79=$U17),--(Lineups!W$4:W$79&lt;&gt;"SP")))</f>
        <v>1</v>
      </c>
      <c r="AA17" s="472">
        <f ca="1">IF($U17="","",SUMPRODUCT(--(Lineups!AH$4:AH$79=$U17),--(Lineups!W$4:W$79&lt;&gt;"SP")))</f>
        <v>2</v>
      </c>
      <c r="AB17" s="472">
        <f ca="1">IF($U17="","",SUMPRODUCT(--(Lineups!AK$4:AK$79=$U17),--(Lineups!W$4:W$79&lt;&gt;"SP")))</f>
        <v>3</v>
      </c>
      <c r="AC17" s="20">
        <f t="shared" si="11"/>
        <v>7</v>
      </c>
      <c r="AD17" s="464">
        <f t="shared" si="12"/>
        <v>0.29166666666666669</v>
      </c>
      <c r="AE17" s="20">
        <f t="shared" si="13"/>
        <v>12</v>
      </c>
      <c r="AF17" s="464">
        <f t="shared" si="14"/>
        <v>0.5</v>
      </c>
      <c r="AG17" s="469" t="str">
        <f ca="1">IF(U17="","",IF(OR(SK!U196="",SK!U196=0),"",SK!X196))</f>
        <v/>
      </c>
      <c r="AH17" s="20">
        <f ca="1">IF($U17="","",SUMPRODUCT(--(Lineups!Y$4:Y$79=$U17)))</f>
        <v>0</v>
      </c>
      <c r="AI17" s="464">
        <f t="shared" si="15"/>
        <v>0</v>
      </c>
      <c r="AJ17" s="20">
        <f t="shared" si="16"/>
        <v>12</v>
      </c>
      <c r="AK17" s="464">
        <f t="shared" si="17"/>
        <v>0.5</v>
      </c>
    </row>
    <row r="18" spans="1:37">
      <c r="A18" s="461">
        <f t="shared" si="0"/>
        <v>10</v>
      </c>
      <c r="B18" s="462" t="str">
        <f ca="1">IF(ISBLANK(IBRF!B20),"",IBRF!B20)</f>
        <v>428</v>
      </c>
      <c r="C18" s="462" t="str">
        <f ca="1">IF(ISBLANK(IBRF!C20),"",IBRF!C20)</f>
        <v>Freakin' Rican</v>
      </c>
      <c r="D18" s="463">
        <f ca="1">IF($B18="","",SUMPRODUCT(--(Lineups!$F$4:$F$79=$B18),--(Lineups!$B$4:$B$79="")))</f>
        <v>3</v>
      </c>
      <c r="E18" s="465">
        <f t="shared" si="1"/>
        <v>0.125</v>
      </c>
      <c r="F18" s="472">
        <f ca="1">IF($B18="","",SUMPRODUCT(--(Lineups!$F$4:$F$79=$B18),--(Lineups!$B$4:$B$79="X")))</f>
        <v>0</v>
      </c>
      <c r="G18" s="472">
        <f ca="1">IF($B18="","",SUMPRODUCT(--(Lineups!I$4:I$79=$B18),--(Lineups!A$4:A$79&lt;&gt;"SP")))</f>
        <v>0</v>
      </c>
      <c r="H18" s="472">
        <f ca="1">IF($B18="","",SUMPRODUCT(--(Lineups!L$4:L$79=$B18),--(Lineups!A$4:A$79&lt;&gt;"SP")))</f>
        <v>0</v>
      </c>
      <c r="I18" s="472">
        <f ca="1">IF($B18="","",SUMPRODUCT(--(Lineups!O$4:O$79=$B18),--(Lineups!A$4:A$79&lt;&gt;"SP")))</f>
        <v>0</v>
      </c>
      <c r="J18" s="463">
        <f t="shared" si="2"/>
        <v>0</v>
      </c>
      <c r="K18" s="465">
        <f t="shared" si="3"/>
        <v>0</v>
      </c>
      <c r="L18" s="463">
        <f t="shared" si="4"/>
        <v>3</v>
      </c>
      <c r="M18" s="465">
        <f t="shared" si="5"/>
        <v>0.125</v>
      </c>
      <c r="N18" s="470">
        <f ca="1">IF(B18="","",IF(OR(SK!E199="",SK!E199=0),"",SK!H199))</f>
        <v>2</v>
      </c>
      <c r="O18" s="463">
        <f ca="1">IF($B18="","",SUMPRODUCT(--(Lineups!C$4:C$79=$B18)))</f>
        <v>5</v>
      </c>
      <c r="P18" s="465">
        <f t="shared" si="6"/>
        <v>0.20833333333333334</v>
      </c>
      <c r="Q18" s="463">
        <f t="shared" si="7"/>
        <v>8</v>
      </c>
      <c r="R18" s="465">
        <f t="shared" si="8"/>
        <v>0.33333333333333331</v>
      </c>
      <c r="T18" s="461">
        <f t="shared" si="9"/>
        <v>10</v>
      </c>
      <c r="U18" s="462" t="str">
        <f ca="1">IF(ISBLANK(IBRF!H20),"",IBRF!H20)</f>
        <v>72</v>
      </c>
      <c r="V18" s="462" t="str">
        <f ca="1">IF(ISBLANK(IBRF!I20),"",IBRF!I20)</f>
        <v>Demonica Mars</v>
      </c>
      <c r="W18" s="463">
        <f ca="1">IF($U18="","",SUMPRODUCT(--(Lineups!$AB$4:$AB$79=$U18),--(Lineups!$X$4:$X$79="")))</f>
        <v>0</v>
      </c>
      <c r="X18" s="465">
        <f t="shared" si="10"/>
        <v>0</v>
      </c>
      <c r="Y18" s="472">
        <f ca="1">IF($U18="","",SUMPRODUCT(--(Lineups!$AB$4:$AB$79=$U18),--(Lineups!$X$4:$X$79="X")))</f>
        <v>0</v>
      </c>
      <c r="Z18" s="472">
        <f ca="1">IF($U18="","",SUMPRODUCT(--(Lineups!AE$4:AE$79=$U18),--(Lineups!W$4:W$79&lt;&gt;"SP")))</f>
        <v>1</v>
      </c>
      <c r="AA18" s="472">
        <f ca="1">IF($U18="","",SUMPRODUCT(--(Lineups!AH$4:AH$79=$U18),--(Lineups!W$4:W$79&lt;&gt;"SP")))</f>
        <v>1</v>
      </c>
      <c r="AB18" s="472">
        <f ca="1">IF($U18="","",SUMPRODUCT(--(Lineups!AK$4:AK$79=$U18),--(Lineups!W$4:W$79&lt;&gt;"SP")))</f>
        <v>2</v>
      </c>
      <c r="AC18" s="463">
        <f t="shared" si="11"/>
        <v>4</v>
      </c>
      <c r="AD18" s="465">
        <f t="shared" si="12"/>
        <v>0.16666666666666666</v>
      </c>
      <c r="AE18" s="463">
        <f t="shared" si="13"/>
        <v>4</v>
      </c>
      <c r="AF18" s="465">
        <f t="shared" si="14"/>
        <v>0.16666666666666666</v>
      </c>
      <c r="AG18" s="470" t="str">
        <f ca="1">IF(U18="","",IF(OR(SK!U199="",SK!U199=0),"",SK!X199))</f>
        <v/>
      </c>
      <c r="AH18" s="463">
        <f ca="1">IF($U18="","",SUMPRODUCT(--(Lineups!Y$4:Y$79=$U18)))</f>
        <v>0</v>
      </c>
      <c r="AI18" s="465">
        <f t="shared" si="15"/>
        <v>0</v>
      </c>
      <c r="AJ18" s="463">
        <f t="shared" si="16"/>
        <v>4</v>
      </c>
      <c r="AK18" s="465">
        <f t="shared" si="17"/>
        <v>0.16666666666666666</v>
      </c>
    </row>
    <row r="19" spans="1:37">
      <c r="A19" s="94">
        <f t="shared" si="0"/>
        <v>11</v>
      </c>
      <c r="B19" s="270" t="str">
        <f ca="1">IF(ISBLANK(IBRF!B21),"",IBRF!B21)</f>
        <v>6</v>
      </c>
      <c r="C19" s="270" t="str">
        <f ca="1">IF(ISBLANK(IBRF!C21),"",IBRF!C21)</f>
        <v>Elle McFearsome</v>
      </c>
      <c r="D19" s="20">
        <f ca="1">IF($B19="","",SUMPRODUCT(--(Lineups!$F$4:$F$79=$B19),--(Lineups!$B$4:$B$79="")))</f>
        <v>12</v>
      </c>
      <c r="E19" s="464">
        <f t="shared" si="1"/>
        <v>0.5</v>
      </c>
      <c r="F19" s="472">
        <f ca="1">IF($B19="","",SUMPRODUCT(--(Lineups!$F$4:$F$79=$B19),--(Lineups!$B$4:$B$79="X")))</f>
        <v>0</v>
      </c>
      <c r="G19" s="472">
        <f ca="1">IF($B19="","",SUMPRODUCT(--(Lineups!I$4:I$79=$B19),--(Lineups!A$4:A$79&lt;&gt;"SP")))</f>
        <v>0</v>
      </c>
      <c r="H19" s="472">
        <f ca="1">IF($B19="","",SUMPRODUCT(--(Lineups!L$4:L$79=$B19),--(Lineups!A$4:A$79&lt;&gt;"SP")))</f>
        <v>0</v>
      </c>
      <c r="I19" s="472">
        <f ca="1">IF($B19="","",SUMPRODUCT(--(Lineups!O$4:O$79=$B19),--(Lineups!A$4:A$79&lt;&gt;"SP")))</f>
        <v>0</v>
      </c>
      <c r="J19" s="20">
        <f t="shared" si="2"/>
        <v>0</v>
      </c>
      <c r="K19" s="464">
        <f t="shared" si="3"/>
        <v>0</v>
      </c>
      <c r="L19" s="20">
        <f t="shared" si="4"/>
        <v>12</v>
      </c>
      <c r="M19" s="464">
        <f t="shared" si="5"/>
        <v>0.5</v>
      </c>
      <c r="N19" s="469" t="str">
        <f ca="1">IF(B19="","",IF(OR(SK!E202="",SK!E202=0),"",SK!H202))</f>
        <v/>
      </c>
      <c r="O19" s="20">
        <f ca="1">IF($B19="","",SUMPRODUCT(--(Lineups!C$4:C$79=$B19)))</f>
        <v>0</v>
      </c>
      <c r="P19" s="464">
        <f t="shared" si="6"/>
        <v>0</v>
      </c>
      <c r="Q19" s="20">
        <f t="shared" si="7"/>
        <v>12</v>
      </c>
      <c r="R19" s="464">
        <f t="shared" si="8"/>
        <v>0.5</v>
      </c>
      <c r="T19" s="94">
        <f t="shared" si="9"/>
        <v>11</v>
      </c>
      <c r="U19" s="270" t="str">
        <f ca="1">IF(ISBLANK(IBRF!H21),"",IBRF!H21)</f>
        <v>9.81</v>
      </c>
      <c r="V19" s="270" t="str">
        <f ca="1">IF(ISBLANK(IBRF!I21),"",IBRF!I21)</f>
        <v>Uhura Belle Death</v>
      </c>
      <c r="W19" s="20">
        <f ca="1">IF($U19="","",SUMPRODUCT(--(Lineups!$AB$4:$AB$79=$U19),--(Lineups!$X$4:$X$79="")))</f>
        <v>0</v>
      </c>
      <c r="X19" s="464">
        <f t="shared" si="10"/>
        <v>0</v>
      </c>
      <c r="Y19" s="472">
        <f ca="1">IF($U19="","",SUMPRODUCT(--(Lineups!$AB$4:$AB$79=$U19),--(Lineups!$X$4:$X$79="X")))</f>
        <v>0</v>
      </c>
      <c r="Z19" s="472">
        <f ca="1">IF($U19="","",SUMPRODUCT(--(Lineups!AE$4:AE$79=$U19),--(Lineups!W$4:W$79&lt;&gt;"SP")))</f>
        <v>0</v>
      </c>
      <c r="AA19" s="472">
        <f ca="1">IF($U19="","",SUMPRODUCT(--(Lineups!AH$4:AH$79=$U19),--(Lineups!W$4:W$79&lt;&gt;"SP")))</f>
        <v>0</v>
      </c>
      <c r="AB19" s="472">
        <f ca="1">IF($U19="","",SUMPRODUCT(--(Lineups!AK$4:AK$79=$U19),--(Lineups!W$4:W$79&lt;&gt;"SP")))</f>
        <v>0</v>
      </c>
      <c r="AC19" s="20">
        <f t="shared" si="11"/>
        <v>0</v>
      </c>
      <c r="AD19" s="464">
        <f t="shared" si="12"/>
        <v>0</v>
      </c>
      <c r="AE19" s="20">
        <f t="shared" si="13"/>
        <v>0</v>
      </c>
      <c r="AF19" s="464">
        <f t="shared" si="14"/>
        <v>0</v>
      </c>
      <c r="AG19" s="469">
        <f ca="1">IF(U19="","",IF(OR(SK!U202="",SK!U202=0),"",SK!X202))</f>
        <v>2</v>
      </c>
      <c r="AH19" s="20">
        <f ca="1">IF($U19="","",SUMPRODUCT(--(Lineups!Y$4:Y$79=$U19)))</f>
        <v>8</v>
      </c>
      <c r="AI19" s="464">
        <f t="shared" si="15"/>
        <v>0.33333333333333331</v>
      </c>
      <c r="AJ19" s="20">
        <f t="shared" si="16"/>
        <v>8</v>
      </c>
      <c r="AK19" s="464">
        <f t="shared" si="17"/>
        <v>0.33333333333333331</v>
      </c>
    </row>
    <row r="20" spans="1:37">
      <c r="A20" s="461">
        <f t="shared" si="0"/>
        <v>12</v>
      </c>
      <c r="B20" s="462" t="str">
        <f ca="1">IF(ISBLANK(IBRF!B22),"",IBRF!B22)</f>
        <v>728</v>
      </c>
      <c r="C20" s="462" t="str">
        <f ca="1">IF(ISBLANK(IBRF!C22),"",IBRF!C22)</f>
        <v>Combat Cat</v>
      </c>
      <c r="D20" s="463">
        <f ca="1">IF($B20="","",SUMPRODUCT(--(Lineups!$F$4:$F$79=$B20),--(Lineups!$B$4:$B$79="")))</f>
        <v>0</v>
      </c>
      <c r="E20" s="465">
        <f t="shared" si="1"/>
        <v>0</v>
      </c>
      <c r="F20" s="472">
        <f ca="1">IF($B20="","",SUMPRODUCT(--(Lineups!$F$4:$F$79=$B20),--(Lineups!$B$4:$B$79="X")))</f>
        <v>0</v>
      </c>
      <c r="G20" s="472">
        <f ca="1">IF($B20="","",SUMPRODUCT(--(Lineups!I$4:I$79=$B20),--(Lineups!A$4:A$79&lt;&gt;"SP")))</f>
        <v>3</v>
      </c>
      <c r="H20" s="472">
        <f ca="1">IF($B20="","",SUMPRODUCT(--(Lineups!L$4:L$79=$B20),--(Lineups!A$4:A$79&lt;&gt;"SP")))</f>
        <v>4</v>
      </c>
      <c r="I20" s="472">
        <f ca="1">IF($B20="","",SUMPRODUCT(--(Lineups!O$4:O$79=$B20),--(Lineups!A$4:A$79&lt;&gt;"SP")))</f>
        <v>1</v>
      </c>
      <c r="J20" s="463">
        <f t="shared" si="2"/>
        <v>8</v>
      </c>
      <c r="K20" s="465">
        <f t="shared" si="3"/>
        <v>0.33333333333333331</v>
      </c>
      <c r="L20" s="463">
        <f t="shared" si="4"/>
        <v>8</v>
      </c>
      <c r="M20" s="465">
        <f t="shared" si="5"/>
        <v>0.33333333333333331</v>
      </c>
      <c r="N20" s="470">
        <f ca="1">IF(B20="","",IF(OR(SK!E205="",SK!E205=0),"",SK!H205))</f>
        <v>3</v>
      </c>
      <c r="O20" s="463">
        <f ca="1">IF($B20="","",SUMPRODUCT(--(Lineups!C$4:C$79=$B20)))</f>
        <v>3</v>
      </c>
      <c r="P20" s="465">
        <f t="shared" si="6"/>
        <v>0.125</v>
      </c>
      <c r="Q20" s="463">
        <f t="shared" si="7"/>
        <v>11</v>
      </c>
      <c r="R20" s="465">
        <f t="shared" si="8"/>
        <v>0.45833333333333331</v>
      </c>
      <c r="T20" s="461">
        <f t="shared" si="9"/>
        <v>12</v>
      </c>
      <c r="U20" s="462" t="str">
        <f ca="1">IF(ISBLANK(IBRF!H22),"",IBRF!H22)</f>
        <v>I-75</v>
      </c>
      <c r="V20" s="462" t="str">
        <f ca="1">IF(ISBLANK(IBRF!I22),"",IBRF!I22)</f>
        <v>Diesel Doll</v>
      </c>
      <c r="W20" s="463">
        <f ca="1">IF($U20="","",SUMPRODUCT(--(Lineups!$AB$4:$AB$79=$U20),--(Lineups!$X$4:$X$79="")))</f>
        <v>8</v>
      </c>
      <c r="X20" s="465">
        <f t="shared" si="10"/>
        <v>0.33333333333333331</v>
      </c>
      <c r="Y20" s="472">
        <f ca="1">IF($U20="","",SUMPRODUCT(--(Lineups!$AB$4:$AB$79=$U20),--(Lineups!$X$4:$X$79="X")))</f>
        <v>0</v>
      </c>
      <c r="Z20" s="472">
        <f ca="1">IF($U20="","",SUMPRODUCT(--(Lineups!AE$4:AE$79=$U20),--(Lineups!W$4:W$79&lt;&gt;"SP")))</f>
        <v>1</v>
      </c>
      <c r="AA20" s="472">
        <f ca="1">IF($U20="","",SUMPRODUCT(--(Lineups!AH$4:AH$79=$U20),--(Lineups!W$4:W$79&lt;&gt;"SP")))</f>
        <v>1</v>
      </c>
      <c r="AB20" s="472">
        <f ca="1">IF($U20="","",SUMPRODUCT(--(Lineups!AK$4:AK$79=$U20),--(Lineups!W$4:W$79&lt;&gt;"SP")))</f>
        <v>0</v>
      </c>
      <c r="AC20" s="463">
        <f t="shared" si="11"/>
        <v>2</v>
      </c>
      <c r="AD20" s="465">
        <f t="shared" si="12"/>
        <v>8.3333333333333329E-2</v>
      </c>
      <c r="AE20" s="463">
        <f t="shared" si="13"/>
        <v>10</v>
      </c>
      <c r="AF20" s="465">
        <f t="shared" si="14"/>
        <v>0.41666666666666669</v>
      </c>
      <c r="AG20" s="470" t="str">
        <f ca="1">IF(U20="","",IF(OR(SK!U205="",SK!U205=0),"",SK!X205))</f>
        <v/>
      </c>
      <c r="AH20" s="463">
        <f ca="1">IF($U20="","",SUMPRODUCT(--(Lineups!Y$4:Y$79=$U20)))</f>
        <v>0</v>
      </c>
      <c r="AI20" s="465">
        <f t="shared" si="15"/>
        <v>0</v>
      </c>
      <c r="AJ20" s="463">
        <f t="shared" si="16"/>
        <v>10</v>
      </c>
      <c r="AK20" s="465">
        <f t="shared" si="17"/>
        <v>0.41666666666666669</v>
      </c>
    </row>
    <row r="21" spans="1:37">
      <c r="A21" s="94">
        <f t="shared" si="0"/>
        <v>13</v>
      </c>
      <c r="B21" s="270" t="str">
        <f ca="1">IF(ISBLANK(IBRF!B23),"",IBRF!B23)</f>
        <v>80</v>
      </c>
      <c r="C21" s="270" t="str">
        <f ca="1">IF(ISBLANK(IBRF!C23),"",IBRF!C23)</f>
        <v>Mean Streak</v>
      </c>
      <c r="D21" s="20">
        <f ca="1">IF($B21="","",SUMPRODUCT(--(Lineups!$F$4:$F$79=$B21),--(Lineups!$B$4:$B$79="")))</f>
        <v>0</v>
      </c>
      <c r="E21" s="464">
        <f t="shared" si="1"/>
        <v>0</v>
      </c>
      <c r="F21" s="472">
        <f ca="1">IF($B21="","",SUMPRODUCT(--(Lineups!$F$4:$F$79=$B21),--(Lineups!$B$4:$B$79="X")))</f>
        <v>0</v>
      </c>
      <c r="G21" s="472">
        <f ca="1">IF($B21="","",SUMPRODUCT(--(Lineups!I$4:I$79=$B21),--(Lineups!A$4:A$79&lt;&gt;"SP")))</f>
        <v>0</v>
      </c>
      <c r="H21" s="472">
        <f ca="1">IF($B21="","",SUMPRODUCT(--(Lineups!L$4:L$79=$B21),--(Lineups!A$4:A$79&lt;&gt;"SP")))</f>
        <v>0</v>
      </c>
      <c r="I21" s="472">
        <f ca="1">IF($B21="","",SUMPRODUCT(--(Lineups!O$4:O$79=$B21),--(Lineups!A$4:A$79&lt;&gt;"SP")))</f>
        <v>3</v>
      </c>
      <c r="J21" s="20">
        <f t="shared" si="2"/>
        <v>3</v>
      </c>
      <c r="K21" s="464">
        <f t="shared" si="3"/>
        <v>0.125</v>
      </c>
      <c r="L21" s="20">
        <f t="shared" si="4"/>
        <v>3</v>
      </c>
      <c r="M21" s="464">
        <f t="shared" si="5"/>
        <v>0.125</v>
      </c>
      <c r="N21" s="469">
        <f ca="1">IF(B21="","",IF(OR(SK!E208="",SK!E208=0),"",SK!H208))</f>
        <v>3</v>
      </c>
      <c r="O21" s="20">
        <f ca="1">IF($B21="","",SUMPRODUCT(--(Lineups!C$4:C$79=$B21)))</f>
        <v>5</v>
      </c>
      <c r="P21" s="464">
        <f t="shared" si="6"/>
        <v>0.20833333333333334</v>
      </c>
      <c r="Q21" s="20">
        <f t="shared" si="7"/>
        <v>8</v>
      </c>
      <c r="R21" s="464">
        <f t="shared" si="8"/>
        <v>0.33333333333333331</v>
      </c>
      <c r="T21" s="94">
        <f t="shared" si="9"/>
        <v>13</v>
      </c>
      <c r="U21" s="270" t="str">
        <f ca="1">IF(ISBLANK(IBRF!H23),"",IBRF!H23)</f>
        <v>N2O</v>
      </c>
      <c r="V21" s="270" t="str">
        <f ca="1">IF(ISBLANK(IBRF!I23),"",IBRF!I23)</f>
        <v>Cool Whip</v>
      </c>
      <c r="W21" s="20">
        <f ca="1">IF($U21="","",SUMPRODUCT(--(Lineups!$AB$4:$AB$79=$U21),--(Lineups!$X$4:$X$79="")))</f>
        <v>0</v>
      </c>
      <c r="X21" s="464">
        <f t="shared" si="10"/>
        <v>0</v>
      </c>
      <c r="Y21" s="472">
        <f ca="1">IF($U21="","",SUMPRODUCT(--(Lineups!$AB$4:$AB$79=$U21),--(Lineups!$X$4:$X$79="X")))</f>
        <v>1</v>
      </c>
      <c r="Z21" s="472">
        <f ca="1">IF($U21="","",SUMPRODUCT(--(Lineups!AE$4:AE$79=$U21),--(Lineups!W$4:W$79&lt;&gt;"SP")))</f>
        <v>7</v>
      </c>
      <c r="AA21" s="472">
        <f ca="1">IF($U21="","",SUMPRODUCT(--(Lineups!AH$4:AH$79=$U21),--(Lineups!W$4:W$79&lt;&gt;"SP")))</f>
        <v>1</v>
      </c>
      <c r="AB21" s="472">
        <f ca="1">IF($U21="","",SUMPRODUCT(--(Lineups!AK$4:AK$79=$U21),--(Lineups!W$4:W$79&lt;&gt;"SP")))</f>
        <v>3</v>
      </c>
      <c r="AC21" s="20">
        <f t="shared" si="11"/>
        <v>12</v>
      </c>
      <c r="AD21" s="464">
        <f t="shared" si="12"/>
        <v>0.5</v>
      </c>
      <c r="AE21" s="20">
        <f t="shared" si="13"/>
        <v>12</v>
      </c>
      <c r="AF21" s="464">
        <f t="shared" si="14"/>
        <v>0.5</v>
      </c>
      <c r="AG21" s="469" t="str">
        <f ca="1">IF(U21="","",IF(OR(SK!U208="",SK!U208=0),"",SK!X208))</f>
        <v/>
      </c>
      <c r="AH21" s="20">
        <f ca="1">IF($U21="","",SUMPRODUCT(--(Lineups!Y$4:Y$79=$U21)))</f>
        <v>0</v>
      </c>
      <c r="AI21" s="464">
        <f t="shared" si="15"/>
        <v>0</v>
      </c>
      <c r="AJ21" s="20">
        <f t="shared" si="16"/>
        <v>12</v>
      </c>
      <c r="AK21" s="464">
        <f t="shared" si="17"/>
        <v>0.5</v>
      </c>
    </row>
    <row r="22" spans="1:37">
      <c r="A22" s="461">
        <f t="shared" si="0"/>
        <v>14</v>
      </c>
      <c r="B22" s="462" t="str">
        <f ca="1">IF(ISBLANK(IBRF!B24),"",IBRF!B24)</f>
        <v>9.99</v>
      </c>
      <c r="C22" s="462" t="str">
        <f ca="1">IF(ISBLANK(IBRF!C24),"",IBRF!C24)</f>
        <v>U.S.S. DentHerPrize</v>
      </c>
      <c r="D22" s="463">
        <f ca="1">IF($B22="","",SUMPRODUCT(--(Lineups!$F$4:$F$79=$B22),--(Lineups!$B$4:$B$79="")))</f>
        <v>0</v>
      </c>
      <c r="E22" s="465">
        <f t="shared" si="1"/>
        <v>0</v>
      </c>
      <c r="F22" s="472">
        <f ca="1">IF($B22="","",SUMPRODUCT(--(Lineups!$F$4:$F$79=$B22),--(Lineups!$B$4:$B$79="X")))</f>
        <v>0</v>
      </c>
      <c r="G22" s="472">
        <f ca="1">IF($B22="","",SUMPRODUCT(--(Lineups!I$4:I$79=$B22),--(Lineups!A$4:A$79&lt;&gt;"SP")))</f>
        <v>0</v>
      </c>
      <c r="H22" s="472">
        <f ca="1">IF($B22="","",SUMPRODUCT(--(Lineups!L$4:L$79=$B22),--(Lineups!A$4:A$79&lt;&gt;"SP")))</f>
        <v>0</v>
      </c>
      <c r="I22" s="472">
        <f ca="1">IF($B22="","",SUMPRODUCT(--(Lineups!O$4:O$79=$B22),--(Lineups!A$4:A$79&lt;&gt;"SP")))</f>
        <v>0</v>
      </c>
      <c r="J22" s="463">
        <f t="shared" si="2"/>
        <v>0</v>
      </c>
      <c r="K22" s="465">
        <f t="shared" si="3"/>
        <v>0</v>
      </c>
      <c r="L22" s="463">
        <f t="shared" si="4"/>
        <v>0</v>
      </c>
      <c r="M22" s="465">
        <f t="shared" si="5"/>
        <v>0</v>
      </c>
      <c r="N22" s="470" t="str">
        <f ca="1">IF(B22="","",IF(OR(SK!E211="",SK!E211=0),"",SK!H211))</f>
        <v/>
      </c>
      <c r="O22" s="463">
        <f ca="1">IF($B22="","",SUMPRODUCT(--(Lineups!C$4:C$79=$B22)))</f>
        <v>0</v>
      </c>
      <c r="P22" s="465">
        <f t="shared" si="6"/>
        <v>0</v>
      </c>
      <c r="Q22" s="463">
        <f t="shared" si="7"/>
        <v>0</v>
      </c>
      <c r="R22" s="465">
        <f t="shared" si="8"/>
        <v>0</v>
      </c>
      <c r="T22" s="461">
        <f t="shared" si="9"/>
        <v>14</v>
      </c>
      <c r="U22" s="462" t="str">
        <f ca="1">IF(ISBLANK(IBRF!H24),"",IBRF!H24)</f>
        <v>W00T</v>
      </c>
      <c r="V22" s="462" t="str">
        <f ca="1">IF(ISBLANK(IBRF!I24),"",IBRF!I24)</f>
        <v>Genniferal</v>
      </c>
      <c r="W22" s="463">
        <f ca="1">IF($U22="","",SUMPRODUCT(--(Lineups!$AB$4:$AB$79=$U22),--(Lineups!$X$4:$X$79="")))</f>
        <v>8</v>
      </c>
      <c r="X22" s="465">
        <f t="shared" si="10"/>
        <v>0.33333333333333331</v>
      </c>
      <c r="Y22" s="472">
        <f ca="1">IF($U22="","",SUMPRODUCT(--(Lineups!$AB$4:$AB$79=$U22),--(Lineups!$X$4:$X$79="X")))</f>
        <v>0</v>
      </c>
      <c r="Z22" s="472">
        <f ca="1">IF($U22="","",SUMPRODUCT(--(Lineups!AE$4:AE$79=$U22),--(Lineups!W$4:W$79&lt;&gt;"SP")))</f>
        <v>1</v>
      </c>
      <c r="AA22" s="472">
        <f ca="1">IF($U22="","",SUMPRODUCT(--(Lineups!AH$4:AH$79=$U22),--(Lineups!W$4:W$79&lt;&gt;"SP")))</f>
        <v>1</v>
      </c>
      <c r="AB22" s="472">
        <f ca="1">IF($U22="","",SUMPRODUCT(--(Lineups!AK$4:AK$79=$U22),--(Lineups!W$4:W$79&lt;&gt;"SP")))</f>
        <v>0</v>
      </c>
      <c r="AC22" s="463">
        <f t="shared" si="11"/>
        <v>2</v>
      </c>
      <c r="AD22" s="465">
        <f t="shared" si="12"/>
        <v>8.3333333333333329E-2</v>
      </c>
      <c r="AE22" s="463">
        <f t="shared" si="13"/>
        <v>10</v>
      </c>
      <c r="AF22" s="465">
        <f t="shared" si="14"/>
        <v>0.41666666666666669</v>
      </c>
      <c r="AG22" s="470" t="str">
        <f ca="1">IF(U22="","",IF(OR(SK!U211="",SK!U211=0),"",SK!X211))</f>
        <v/>
      </c>
      <c r="AH22" s="463">
        <f ca="1">IF($U22="","",SUMPRODUCT(--(Lineups!Y$4:Y$79=$U22)))</f>
        <v>0</v>
      </c>
      <c r="AI22" s="465">
        <f t="shared" si="15"/>
        <v>0</v>
      </c>
      <c r="AJ22" s="463">
        <f t="shared" si="16"/>
        <v>10</v>
      </c>
      <c r="AK22" s="465">
        <f t="shared" si="17"/>
        <v>0.41666666666666669</v>
      </c>
    </row>
    <row r="23" spans="1:37">
      <c r="A23" s="94">
        <f t="shared" si="0"/>
        <v>15</v>
      </c>
      <c r="B23" s="270" t="str">
        <f ca="1">IF(ISBLANK(IBRF!B25),"",IBRF!B25)</f>
        <v>F14</v>
      </c>
      <c r="C23" s="270" t="str">
        <f ca="1">IF(ISBLANK(IBRF!C25),"",IBRF!C25)</f>
        <v>Apertorture</v>
      </c>
      <c r="D23" s="20">
        <f ca="1">IF($B23="","",SUMPRODUCT(--(Lineups!$F$4:$F$79=$B23),--(Lineups!$B$4:$B$79="")))</f>
        <v>0</v>
      </c>
      <c r="E23" s="464">
        <f t="shared" si="1"/>
        <v>0</v>
      </c>
      <c r="F23" s="472">
        <f ca="1">IF($B23="","",SUMPRODUCT(--(Lineups!$F$4:$F$79=$B23),--(Lineups!$B$4:$B$79="X")))</f>
        <v>0</v>
      </c>
      <c r="G23" s="472">
        <f ca="1">IF($B23="","",SUMPRODUCT(--(Lineups!I$4:I$79=$B23),--(Lineups!A$4:A$79&lt;&gt;"SP")))</f>
        <v>2</v>
      </c>
      <c r="H23" s="472">
        <f ca="1">IF($B23="","",SUMPRODUCT(--(Lineups!L$4:L$79=$B23),--(Lineups!A$4:A$79&lt;&gt;"SP")))</f>
        <v>1</v>
      </c>
      <c r="I23" s="472">
        <f ca="1">IF($B23="","",SUMPRODUCT(--(Lineups!O$4:O$79=$B23),--(Lineups!A$4:A$79&lt;&gt;"SP")))</f>
        <v>2</v>
      </c>
      <c r="J23" s="20">
        <f t="shared" si="2"/>
        <v>5</v>
      </c>
      <c r="K23" s="464">
        <f t="shared" si="3"/>
        <v>0.20833333333333334</v>
      </c>
      <c r="L23" s="20">
        <f t="shared" si="4"/>
        <v>5</v>
      </c>
      <c r="M23" s="464">
        <f t="shared" si="5"/>
        <v>0.20833333333333334</v>
      </c>
      <c r="N23" s="469" t="str">
        <f ca="1">IF(B23="","",IF(OR(SK!E214="",SK!E214=0),"",SK!H214))</f>
        <v/>
      </c>
      <c r="O23" s="20">
        <f ca="1">IF($B23="","",SUMPRODUCT(--(Lineups!C$4:C$79=$B23)))</f>
        <v>0</v>
      </c>
      <c r="P23" s="464">
        <f t="shared" si="6"/>
        <v>0</v>
      </c>
      <c r="Q23" s="20">
        <f t="shared" si="7"/>
        <v>5</v>
      </c>
      <c r="R23" s="464">
        <f t="shared" si="8"/>
        <v>0.20833333333333334</v>
      </c>
      <c r="T23" s="94">
        <f t="shared" si="9"/>
        <v>15</v>
      </c>
      <c r="U23" s="270" t="str">
        <f ca="1">IF(ISBLANK(IBRF!H25),"",IBRF!H25)</f>
        <v>Z28</v>
      </c>
      <c r="V23" s="270" t="str">
        <f ca="1">IF(ISBLANK(IBRF!I25),"",IBRF!I25)</f>
        <v>V8 Nightmare</v>
      </c>
      <c r="W23" s="20">
        <f ca="1">IF($U23="","",SUMPRODUCT(--(Lineups!$AB$4:$AB$79=$U23),--(Lineups!$X$4:$X$79="")))</f>
        <v>0</v>
      </c>
      <c r="X23" s="464">
        <f t="shared" si="10"/>
        <v>0</v>
      </c>
      <c r="Y23" s="472">
        <f ca="1">IF($U23="","",SUMPRODUCT(--(Lineups!$AB$4:$AB$79=$U23),--(Lineups!$X$4:$X$79="X")))</f>
        <v>0</v>
      </c>
      <c r="Z23" s="472">
        <f ca="1">IF($U23="","",SUMPRODUCT(--(Lineups!AE$4:AE$79=$U23),--(Lineups!W$4:W$79&lt;&gt;"SP")))</f>
        <v>1</v>
      </c>
      <c r="AA23" s="472">
        <f ca="1">IF($U23="","",SUMPRODUCT(--(Lineups!AH$4:AH$79=$U23),--(Lineups!W$4:W$79&lt;&gt;"SP")))</f>
        <v>2</v>
      </c>
      <c r="AB23" s="472">
        <f ca="1">IF($U23="","",SUMPRODUCT(--(Lineups!AK$4:AK$79=$U23),--(Lineups!W$4:W$79&lt;&gt;"SP")))</f>
        <v>0</v>
      </c>
      <c r="AC23" s="20">
        <f t="shared" si="11"/>
        <v>3</v>
      </c>
      <c r="AD23" s="464">
        <f t="shared" si="12"/>
        <v>0.125</v>
      </c>
      <c r="AE23" s="20">
        <f t="shared" si="13"/>
        <v>3</v>
      </c>
      <c r="AF23" s="464">
        <f t="shared" si="14"/>
        <v>0.125</v>
      </c>
      <c r="AG23" s="469" t="str">
        <f ca="1">IF(U23="","",IF(OR(SK!U214="",SK!U214=0),"",SK!X214))</f>
        <v/>
      </c>
      <c r="AH23" s="20">
        <f ca="1">IF($U23="","",SUMPRODUCT(--(Lineups!Y$4:Y$79=$U23)))</f>
        <v>0</v>
      </c>
      <c r="AI23" s="464">
        <f t="shared" si="15"/>
        <v>0</v>
      </c>
      <c r="AJ23" s="20">
        <f t="shared" si="16"/>
        <v>3</v>
      </c>
      <c r="AK23" s="464">
        <f t="shared" si="17"/>
        <v>0.125</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43" t="s">
        <v>350</v>
      </c>
      <c r="B30" s="1343"/>
      <c r="C30" s="1343"/>
      <c r="D30" s="309"/>
      <c r="E30" s="309"/>
      <c r="F30" s="309"/>
      <c r="G30" s="309"/>
      <c r="H30" s="309"/>
      <c r="I30" s="309"/>
      <c r="J30" s="309"/>
      <c r="K30" s="309"/>
      <c r="L30" s="309"/>
      <c r="M30" s="309"/>
      <c r="N30" s="309"/>
      <c r="O30" s="309"/>
      <c r="P30" s="309"/>
      <c r="Q30" s="309"/>
      <c r="R30" s="309"/>
      <c r="T30" s="1343" t="s">
        <v>350</v>
      </c>
      <c r="U30" s="1343"/>
      <c r="V30" s="1343"/>
      <c r="W30" s="309"/>
      <c r="X30" s="309"/>
      <c r="Y30" s="309"/>
      <c r="Z30" s="309"/>
      <c r="AA30" s="309"/>
      <c r="AB30" s="309"/>
      <c r="AC30" s="309"/>
      <c r="AD30" s="309"/>
      <c r="AE30" s="309"/>
      <c r="AF30" s="309"/>
      <c r="AG30" s="309"/>
      <c r="AH30" s="309"/>
      <c r="AI30" s="309"/>
      <c r="AJ30" s="309"/>
      <c r="AK30" s="309"/>
    </row>
    <row r="31" spans="1:37">
      <c r="A31" s="466">
        <v>0</v>
      </c>
      <c r="B31" s="466" t="s">
        <v>202</v>
      </c>
      <c r="C31" s="466" t="s">
        <v>203</v>
      </c>
      <c r="D31" s="466" t="s">
        <v>187</v>
      </c>
      <c r="E31" s="302"/>
      <c r="F31" s="471" t="s">
        <v>189</v>
      </c>
      <c r="G31" s="471" t="s">
        <v>189</v>
      </c>
      <c r="H31" s="471" t="s">
        <v>189</v>
      </c>
      <c r="I31" s="471" t="s">
        <v>189</v>
      </c>
      <c r="J31" s="466" t="s">
        <v>212</v>
      </c>
      <c r="K31" s="302"/>
      <c r="L31" s="466" t="s">
        <v>214</v>
      </c>
      <c r="M31" s="302"/>
      <c r="N31" s="468" t="s">
        <v>29</v>
      </c>
      <c r="O31" s="466" t="s">
        <v>190</v>
      </c>
      <c r="P31" s="302"/>
      <c r="Q31" s="466" t="s">
        <v>23</v>
      </c>
      <c r="R31" s="302"/>
      <c r="S31" s="302"/>
      <c r="T31" s="466">
        <v>0</v>
      </c>
      <c r="U31" s="466" t="s">
        <v>202</v>
      </c>
      <c r="V31" s="466" t="s">
        <v>203</v>
      </c>
      <c r="W31" s="466" t="s">
        <v>187</v>
      </c>
      <c r="X31" s="302"/>
      <c r="Y31" s="471" t="s">
        <v>189</v>
      </c>
      <c r="Z31" s="471" t="s">
        <v>189</v>
      </c>
      <c r="AA31" s="471" t="s">
        <v>189</v>
      </c>
      <c r="AB31" s="471" t="s">
        <v>189</v>
      </c>
      <c r="AC31" s="466" t="s">
        <v>212</v>
      </c>
      <c r="AD31" s="302"/>
      <c r="AE31" s="466" t="s">
        <v>214</v>
      </c>
      <c r="AF31" s="302"/>
      <c r="AG31" s="468" t="s">
        <v>29</v>
      </c>
      <c r="AH31" s="466" t="s">
        <v>190</v>
      </c>
      <c r="AI31" s="302"/>
      <c r="AJ31" s="466" t="s">
        <v>23</v>
      </c>
      <c r="AK31" s="302"/>
    </row>
    <row r="32" spans="1:37">
      <c r="A32" s="94">
        <f t="shared" ref="A32:A51" si="18">A31+1</f>
        <v>1</v>
      </c>
      <c r="B32" s="94" t="str">
        <f t="shared" ref="B32:C51" si="19">B9</f>
        <v>138</v>
      </c>
      <c r="C32" s="94" t="str">
        <f t="shared" si="19"/>
        <v>Mag Pie</v>
      </c>
      <c r="D32" s="94">
        <f t="shared" ref="D32:D51" ca="1" si="20">IF($B32="","",D55-D78)</f>
        <v>0</v>
      </c>
      <c r="F32" s="472">
        <f t="shared" ref="F32:I51" ca="1" si="21">IF($B32="","",F55-F78)</f>
        <v>0</v>
      </c>
      <c r="G32" s="472">
        <f t="shared" ref="G32:G51" ca="1" si="22">IF($B32="","",G55-G78)</f>
        <v>-5</v>
      </c>
      <c r="H32" s="472">
        <f t="shared" ca="1" si="21"/>
        <v>4</v>
      </c>
      <c r="I32" s="472">
        <f t="shared" ca="1" si="21"/>
        <v>1</v>
      </c>
      <c r="J32" s="94">
        <f t="shared" ref="J32:J51" ca="1" si="23">IF(B32="","",SUM(F32:I32))</f>
        <v>0</v>
      </c>
      <c r="L32" s="94">
        <f t="shared" ref="L32:L51" ca="1" si="24">IF(B32="","",SUM(D32,J32))</f>
        <v>0</v>
      </c>
      <c r="O32" s="94">
        <f t="shared" ref="O32:O51" ca="1" si="25">IF($B32="","",O55-O78)</f>
        <v>0</v>
      </c>
      <c r="Q32" s="94">
        <f t="shared" ref="Q32:Q51" ca="1" si="26">IF(B32="","",SUM(L32,O32))</f>
        <v>0</v>
      </c>
      <c r="T32" s="94">
        <f t="shared" ref="T32:T51" si="27">T31+1</f>
        <v>1</v>
      </c>
      <c r="U32" s="94" t="str">
        <f t="shared" ref="U32:V51" si="28">U9</f>
        <v>182</v>
      </c>
      <c r="V32" s="94" t="str">
        <f t="shared" si="28"/>
        <v>Travis Blocker</v>
      </c>
      <c r="W32" s="94">
        <f t="shared" ref="W32:W51" ca="1" si="29">IF($U32="","",W55-W78)</f>
        <v>0</v>
      </c>
      <c r="Y32" s="472">
        <f t="shared" ref="Y32:AB51" ca="1" si="30">IF($U32="","",Y55-Y78)</f>
        <v>0</v>
      </c>
      <c r="Z32" s="472">
        <f t="shared" ref="Z32:Z51" ca="1" si="31">IF($U32="","",Z55-Z78)</f>
        <v>-9</v>
      </c>
      <c r="AA32" s="472">
        <f t="shared" ca="1" si="30"/>
        <v>0</v>
      </c>
      <c r="AB32" s="472">
        <f t="shared" ca="1" si="30"/>
        <v>-14</v>
      </c>
      <c r="AC32" s="94">
        <f t="shared" ref="AC32:AC51" ca="1" si="32">IF(U32="","",SUM(Y32:AB32))</f>
        <v>-23</v>
      </c>
      <c r="AE32" s="94">
        <f t="shared" ref="AE32:AE51" ca="1" si="33">IF(U32="","",SUM(W32,AC32))</f>
        <v>-23</v>
      </c>
      <c r="AH32" s="94">
        <f t="shared" ref="AH32:AH51" ca="1" si="34">IF($U32="","",AH55-AH78)</f>
        <v>0</v>
      </c>
      <c r="AJ32" s="94">
        <f t="shared" ref="AJ32:AJ51" ca="1" si="35">IF(U32="","",SUM(AE32,AH32))</f>
        <v>-23</v>
      </c>
    </row>
    <row r="33" spans="1:36">
      <c r="A33" s="461">
        <f t="shared" si="18"/>
        <v>2</v>
      </c>
      <c r="B33" s="461" t="str">
        <f t="shared" si="19"/>
        <v>181</v>
      </c>
      <c r="C33" s="461" t="str">
        <f t="shared" si="19"/>
        <v>Vega Vendetta</v>
      </c>
      <c r="D33" s="461">
        <f t="shared" ca="1" si="20"/>
        <v>0</v>
      </c>
      <c r="F33" s="472">
        <f t="shared" ca="1" si="21"/>
        <v>0</v>
      </c>
      <c r="G33" s="472">
        <f t="shared" ca="1" si="22"/>
        <v>16</v>
      </c>
      <c r="H33" s="472">
        <f t="shared" ca="1" si="21"/>
        <v>24</v>
      </c>
      <c r="I33" s="472">
        <f t="shared" ca="1" si="21"/>
        <v>0</v>
      </c>
      <c r="J33" s="461">
        <f t="shared" ca="1" si="23"/>
        <v>40</v>
      </c>
      <c r="L33" s="461">
        <f t="shared" ca="1" si="24"/>
        <v>40</v>
      </c>
      <c r="O33" s="461">
        <f t="shared" ca="1" si="25"/>
        <v>0</v>
      </c>
      <c r="Q33" s="461">
        <f t="shared" ca="1" si="26"/>
        <v>40</v>
      </c>
      <c r="T33" s="461">
        <f t="shared" si="27"/>
        <v>2</v>
      </c>
      <c r="U33" s="461" t="str">
        <f t="shared" si="28"/>
        <v>2¢</v>
      </c>
      <c r="V33" s="461" t="str">
        <f t="shared" si="28"/>
        <v>Vera Toss</v>
      </c>
      <c r="W33" s="461">
        <f t="shared" ca="1" si="29"/>
        <v>0</v>
      </c>
      <c r="Y33" s="472">
        <f t="shared" ca="1" si="30"/>
        <v>0</v>
      </c>
      <c r="Z33" s="472">
        <f t="shared" ca="1" si="31"/>
        <v>-8</v>
      </c>
      <c r="AA33" s="472">
        <f t="shared" ca="1" si="30"/>
        <v>3</v>
      </c>
      <c r="AB33" s="472">
        <f t="shared" ca="1" si="30"/>
        <v>-4</v>
      </c>
      <c r="AC33" s="461">
        <f t="shared" ca="1" si="32"/>
        <v>-9</v>
      </c>
      <c r="AE33" s="461">
        <f t="shared" ca="1" si="33"/>
        <v>-9</v>
      </c>
      <c r="AH33" s="461">
        <f t="shared" ca="1" si="34"/>
        <v>0</v>
      </c>
      <c r="AJ33" s="461">
        <f t="shared" ca="1" si="35"/>
        <v>-9</v>
      </c>
    </row>
    <row r="34" spans="1:36">
      <c r="A34" s="94">
        <f t="shared" si="18"/>
        <v>3</v>
      </c>
      <c r="B34" s="94" t="str">
        <f t="shared" si="19"/>
        <v>1821</v>
      </c>
      <c r="C34" s="94" t="str">
        <f t="shared" si="19"/>
        <v>Mexi-Go</v>
      </c>
      <c r="D34" s="94">
        <f t="shared" ca="1" si="20"/>
        <v>0</v>
      </c>
      <c r="F34" s="472">
        <f t="shared" ca="1" si="21"/>
        <v>0</v>
      </c>
      <c r="G34" s="472">
        <f t="shared" ca="1" si="22"/>
        <v>-10</v>
      </c>
      <c r="H34" s="472">
        <f t="shared" ca="1" si="21"/>
        <v>12</v>
      </c>
      <c r="I34" s="472">
        <f t="shared" ca="1" si="21"/>
        <v>2</v>
      </c>
      <c r="J34" s="94">
        <f t="shared" ca="1" si="23"/>
        <v>4</v>
      </c>
      <c r="L34" s="94">
        <f t="shared" ca="1" si="24"/>
        <v>4</v>
      </c>
      <c r="O34" s="94">
        <f t="shared" ca="1" si="25"/>
        <v>0</v>
      </c>
      <c r="Q34" s="94">
        <f t="shared" ca="1" si="26"/>
        <v>4</v>
      </c>
      <c r="T34" s="94">
        <f t="shared" si="27"/>
        <v>3</v>
      </c>
      <c r="U34" s="94" t="str">
        <f t="shared" si="28"/>
        <v>24/7</v>
      </c>
      <c r="V34" s="94" t="str">
        <f t="shared" si="28"/>
        <v>boo d. livers</v>
      </c>
      <c r="W34" s="94">
        <f t="shared" ca="1" si="29"/>
        <v>0</v>
      </c>
      <c r="Y34" s="472">
        <f t="shared" ca="1" si="30"/>
        <v>0</v>
      </c>
      <c r="Z34" s="472">
        <f t="shared" ca="1" si="31"/>
        <v>-12</v>
      </c>
      <c r="AA34" s="472">
        <f t="shared" ca="1" si="30"/>
        <v>0</v>
      </c>
      <c r="AB34" s="472">
        <f t="shared" ca="1" si="30"/>
        <v>-18</v>
      </c>
      <c r="AC34" s="94">
        <f t="shared" ca="1" si="32"/>
        <v>-30</v>
      </c>
      <c r="AE34" s="94">
        <f t="shared" ca="1" si="33"/>
        <v>-30</v>
      </c>
      <c r="AH34" s="94">
        <f t="shared" ca="1" si="34"/>
        <v>-9</v>
      </c>
      <c r="AJ34" s="94">
        <f t="shared" ca="1" si="35"/>
        <v>-39</v>
      </c>
    </row>
    <row r="35" spans="1:36">
      <c r="A35" s="461">
        <f t="shared" si="18"/>
        <v>4</v>
      </c>
      <c r="B35" s="461" t="str">
        <f t="shared" si="19"/>
        <v>187</v>
      </c>
      <c r="C35" s="461" t="str">
        <f t="shared" si="19"/>
        <v>VeroniKILL</v>
      </c>
      <c r="D35" s="461">
        <f t="shared" ca="1" si="20"/>
        <v>0</v>
      </c>
      <c r="F35" s="472">
        <f t="shared" ca="1" si="21"/>
        <v>0</v>
      </c>
      <c r="G35" s="472">
        <f t="shared" ca="1" si="22"/>
        <v>1</v>
      </c>
      <c r="H35" s="472">
        <f t="shared" ca="1" si="21"/>
        <v>-9</v>
      </c>
      <c r="I35" s="472">
        <f t="shared" ca="1" si="21"/>
        <v>2</v>
      </c>
      <c r="J35" s="461">
        <f t="shared" ca="1" si="23"/>
        <v>-6</v>
      </c>
      <c r="L35" s="461">
        <f t="shared" ca="1" si="24"/>
        <v>-6</v>
      </c>
      <c r="O35" s="461">
        <f t="shared" ca="1" si="25"/>
        <v>0</v>
      </c>
      <c r="Q35" s="461">
        <f t="shared" ca="1" si="26"/>
        <v>-6</v>
      </c>
      <c r="T35" s="461">
        <f t="shared" si="27"/>
        <v>4</v>
      </c>
      <c r="U35" s="461" t="str">
        <f t="shared" si="28"/>
        <v>27</v>
      </c>
      <c r="V35" s="461" t="str">
        <f t="shared" si="28"/>
        <v>A.O. Lesgo</v>
      </c>
      <c r="W35" s="461">
        <f t="shared" ca="1" si="29"/>
        <v>0</v>
      </c>
      <c r="Y35" s="472">
        <f t="shared" ca="1" si="30"/>
        <v>0</v>
      </c>
      <c r="Z35" s="472">
        <f t="shared" ca="1" si="31"/>
        <v>0</v>
      </c>
      <c r="AA35" s="472">
        <f t="shared" ca="1" si="30"/>
        <v>-24</v>
      </c>
      <c r="AB35" s="472">
        <f t="shared" ca="1" si="30"/>
        <v>5</v>
      </c>
      <c r="AC35" s="461">
        <f t="shared" ca="1" si="32"/>
        <v>-19</v>
      </c>
      <c r="AE35" s="461">
        <f t="shared" ca="1" si="33"/>
        <v>-19</v>
      </c>
      <c r="AH35" s="461">
        <f t="shared" ca="1" si="34"/>
        <v>0</v>
      </c>
      <c r="AJ35" s="461">
        <f t="shared" ca="1" si="35"/>
        <v>-19</v>
      </c>
    </row>
    <row r="36" spans="1:36">
      <c r="A36" s="94">
        <f t="shared" si="18"/>
        <v>5</v>
      </c>
      <c r="B36" s="94" t="str">
        <f t="shared" si="19"/>
        <v>1879</v>
      </c>
      <c r="C36" s="94" t="str">
        <f t="shared" si="19"/>
        <v>Belle Isle Hurtya</v>
      </c>
      <c r="D36" s="94">
        <f t="shared" ca="1" si="20"/>
        <v>0</v>
      </c>
      <c r="F36" s="472">
        <f t="shared" ca="1" si="21"/>
        <v>0</v>
      </c>
      <c r="G36" s="472">
        <f t="shared" ca="1" si="22"/>
        <v>-2</v>
      </c>
      <c r="H36" s="472">
        <f t="shared" ca="1" si="21"/>
        <v>4</v>
      </c>
      <c r="I36" s="472">
        <f t="shared" ca="1" si="21"/>
        <v>8</v>
      </c>
      <c r="J36" s="94">
        <f t="shared" ca="1" si="23"/>
        <v>10</v>
      </c>
      <c r="L36" s="94">
        <f t="shared" ca="1" si="24"/>
        <v>10</v>
      </c>
      <c r="O36" s="94">
        <f t="shared" ca="1" si="25"/>
        <v>0</v>
      </c>
      <c r="Q36" s="94">
        <f t="shared" ca="1" si="26"/>
        <v>10</v>
      </c>
      <c r="T36" s="94">
        <f t="shared" si="27"/>
        <v>5</v>
      </c>
      <c r="U36" s="94" t="str">
        <f t="shared" si="28"/>
        <v>38DD</v>
      </c>
      <c r="V36" s="94" t="str">
        <f t="shared" si="28"/>
        <v>Tig O' Hitties</v>
      </c>
      <c r="W36" s="94">
        <f t="shared" ca="1" si="29"/>
        <v>0</v>
      </c>
      <c r="Y36" s="472">
        <f t="shared" ca="1" si="30"/>
        <v>0</v>
      </c>
      <c r="Z36" s="472">
        <f t="shared" ca="1" si="31"/>
        <v>0</v>
      </c>
      <c r="AA36" s="472">
        <f t="shared" ca="1" si="30"/>
        <v>-7</v>
      </c>
      <c r="AB36" s="472">
        <f t="shared" ca="1" si="30"/>
        <v>-2</v>
      </c>
      <c r="AC36" s="94">
        <f t="shared" ca="1" si="32"/>
        <v>-9</v>
      </c>
      <c r="AE36" s="94">
        <f t="shared" ca="1" si="33"/>
        <v>-9</v>
      </c>
      <c r="AH36" s="94">
        <f t="shared" ca="1" si="34"/>
        <v>0</v>
      </c>
      <c r="AJ36" s="94">
        <f t="shared" ca="1" si="35"/>
        <v>-9</v>
      </c>
    </row>
    <row r="37" spans="1:36">
      <c r="A37" s="461">
        <f t="shared" si="18"/>
        <v>6</v>
      </c>
      <c r="B37" s="461" t="str">
        <f t="shared" si="19"/>
        <v>20</v>
      </c>
      <c r="C37" s="461" t="str">
        <f t="shared" si="19"/>
        <v>Devil Kitty</v>
      </c>
      <c r="D37" s="461">
        <f t="shared" ca="1" si="20"/>
        <v>-10</v>
      </c>
      <c r="F37" s="472">
        <f t="shared" ca="1" si="21"/>
        <v>0</v>
      </c>
      <c r="G37" s="472">
        <f t="shared" ca="1" si="22"/>
        <v>0</v>
      </c>
      <c r="H37" s="472">
        <f t="shared" ca="1" si="21"/>
        <v>0</v>
      </c>
      <c r="I37" s="472">
        <f t="shared" ca="1" si="21"/>
        <v>0</v>
      </c>
      <c r="J37" s="461">
        <f t="shared" ca="1" si="23"/>
        <v>0</v>
      </c>
      <c r="L37" s="461">
        <f t="shared" ca="1" si="24"/>
        <v>-10</v>
      </c>
      <c r="O37" s="461">
        <f t="shared" ca="1" si="25"/>
        <v>0</v>
      </c>
      <c r="Q37" s="461">
        <f t="shared" ca="1" si="26"/>
        <v>-10</v>
      </c>
      <c r="T37" s="461">
        <f t="shared" si="27"/>
        <v>6</v>
      </c>
      <c r="U37" s="461" t="str">
        <f t="shared" si="28"/>
        <v>42</v>
      </c>
      <c r="V37" s="461" t="str">
        <f t="shared" si="28"/>
        <v>Midnite Vulture</v>
      </c>
      <c r="W37" s="461">
        <f t="shared" ca="1" si="29"/>
        <v>0</v>
      </c>
      <c r="Y37" s="472">
        <f t="shared" ca="1" si="30"/>
        <v>0</v>
      </c>
      <c r="Z37" s="472">
        <f t="shared" ca="1" si="31"/>
        <v>0</v>
      </c>
      <c r="AA37" s="472">
        <f t="shared" ca="1" si="30"/>
        <v>-8</v>
      </c>
      <c r="AB37" s="472">
        <f t="shared" ca="1" si="30"/>
        <v>-2</v>
      </c>
      <c r="AC37" s="461">
        <f t="shared" ca="1" si="32"/>
        <v>-10</v>
      </c>
      <c r="AE37" s="461">
        <f t="shared" ca="1" si="33"/>
        <v>-10</v>
      </c>
      <c r="AH37" s="461">
        <f t="shared" ca="1" si="34"/>
        <v>-6</v>
      </c>
      <c r="AJ37" s="461">
        <f t="shared" ca="1" si="35"/>
        <v>-16</v>
      </c>
    </row>
    <row r="38" spans="1:36">
      <c r="A38" s="94">
        <f t="shared" si="18"/>
        <v>7</v>
      </c>
      <c r="B38" s="94" t="str">
        <f t="shared" si="19"/>
        <v>20KN</v>
      </c>
      <c r="C38" s="94" t="str">
        <f t="shared" si="19"/>
        <v>Kraken Whips</v>
      </c>
      <c r="D38" s="94">
        <f t="shared" ca="1" si="20"/>
        <v>0</v>
      </c>
      <c r="F38" s="472">
        <f t="shared" ca="1" si="21"/>
        <v>0</v>
      </c>
      <c r="G38" s="472">
        <f t="shared" ca="1" si="22"/>
        <v>0</v>
      </c>
      <c r="H38" s="472">
        <f t="shared" ca="1" si="21"/>
        <v>4</v>
      </c>
      <c r="I38" s="472">
        <f t="shared" ca="1" si="21"/>
        <v>0</v>
      </c>
      <c r="J38" s="94">
        <f t="shared" ca="1" si="23"/>
        <v>4</v>
      </c>
      <c r="L38" s="94">
        <f t="shared" ca="1" si="24"/>
        <v>4</v>
      </c>
      <c r="O38" s="94">
        <f t="shared" ca="1" si="25"/>
        <v>15</v>
      </c>
      <c r="Q38" s="94">
        <f t="shared" ca="1" si="26"/>
        <v>19</v>
      </c>
      <c r="T38" s="94">
        <f t="shared" si="27"/>
        <v>7</v>
      </c>
      <c r="U38" s="94" t="str">
        <f t="shared" si="28"/>
        <v>50</v>
      </c>
      <c r="V38" s="94" t="str">
        <f t="shared" si="28"/>
        <v>Sam-I-Slam</v>
      </c>
      <c r="W38" s="94">
        <f t="shared" ca="1" si="29"/>
        <v>-4</v>
      </c>
      <c r="Y38" s="472">
        <f t="shared" ca="1" si="30"/>
        <v>0</v>
      </c>
      <c r="Z38" s="472">
        <f t="shared" ca="1" si="31"/>
        <v>0</v>
      </c>
      <c r="AA38" s="472">
        <f t="shared" ca="1" si="30"/>
        <v>0</v>
      </c>
      <c r="AB38" s="472">
        <f t="shared" ca="1" si="30"/>
        <v>0</v>
      </c>
      <c r="AC38" s="94">
        <f t="shared" ca="1" si="32"/>
        <v>0</v>
      </c>
      <c r="AE38" s="94">
        <f t="shared" ca="1" si="33"/>
        <v>-4</v>
      </c>
      <c r="AH38" s="94">
        <f t="shared" ca="1" si="34"/>
        <v>-20</v>
      </c>
      <c r="AJ38" s="94">
        <f t="shared" ca="1" si="35"/>
        <v>-24</v>
      </c>
    </row>
    <row r="39" spans="1:36">
      <c r="A39" s="461">
        <f t="shared" si="18"/>
        <v>8</v>
      </c>
      <c r="B39" s="461" t="str">
        <f t="shared" si="19"/>
        <v>212</v>
      </c>
      <c r="C39" s="461" t="str">
        <f t="shared" si="19"/>
        <v>Wham!tramck</v>
      </c>
      <c r="D39" s="461">
        <f t="shared" ca="1" si="20"/>
        <v>0</v>
      </c>
      <c r="F39" s="472">
        <f t="shared" ca="1" si="21"/>
        <v>0</v>
      </c>
      <c r="G39" s="472">
        <f t="shared" ca="1" si="22"/>
        <v>10</v>
      </c>
      <c r="H39" s="472">
        <f t="shared" ca="1" si="21"/>
        <v>-3</v>
      </c>
      <c r="I39" s="472">
        <f t="shared" ca="1" si="21"/>
        <v>0</v>
      </c>
      <c r="J39" s="461">
        <f t="shared" ca="1" si="23"/>
        <v>7</v>
      </c>
      <c r="L39" s="461">
        <f t="shared" ca="1" si="24"/>
        <v>7</v>
      </c>
      <c r="O39" s="461">
        <f t="shared" ca="1" si="25"/>
        <v>0</v>
      </c>
      <c r="Q39" s="461">
        <f t="shared" ca="1" si="26"/>
        <v>7</v>
      </c>
      <c r="T39" s="461">
        <f t="shared" si="27"/>
        <v>8</v>
      </c>
      <c r="U39" s="461" t="str">
        <f t="shared" si="28"/>
        <v>620</v>
      </c>
      <c r="V39" s="461" t="str">
        <f t="shared" si="28"/>
        <v>Lazer Beam</v>
      </c>
      <c r="W39" s="461">
        <f t="shared" ca="1" si="29"/>
        <v>0</v>
      </c>
      <c r="Y39" s="472">
        <f t="shared" ca="1" si="30"/>
        <v>0</v>
      </c>
      <c r="Z39" s="472">
        <f t="shared" ca="1" si="31"/>
        <v>0</v>
      </c>
      <c r="AA39" s="472">
        <f t="shared" ca="1" si="30"/>
        <v>0</v>
      </c>
      <c r="AB39" s="472">
        <f t="shared" ca="1" si="30"/>
        <v>0</v>
      </c>
      <c r="AC39" s="461">
        <f t="shared" ca="1" si="32"/>
        <v>0</v>
      </c>
      <c r="AE39" s="461">
        <f t="shared" ca="1" si="33"/>
        <v>0</v>
      </c>
      <c r="AH39" s="461">
        <f t="shared" ca="1" si="34"/>
        <v>6</v>
      </c>
      <c r="AJ39" s="461">
        <f t="shared" ca="1" si="35"/>
        <v>6</v>
      </c>
    </row>
    <row r="40" spans="1:36">
      <c r="A40" s="94">
        <f t="shared" si="18"/>
        <v>9</v>
      </c>
      <c r="B40" s="94" t="str">
        <f t="shared" si="19"/>
        <v>33 1/3</v>
      </c>
      <c r="C40" s="94" t="str">
        <f t="shared" si="19"/>
        <v>Cookie Rumble</v>
      </c>
      <c r="D40" s="94">
        <f t="shared" ca="1" si="20"/>
        <v>8</v>
      </c>
      <c r="F40" s="472">
        <f t="shared" ca="1" si="21"/>
        <v>0</v>
      </c>
      <c r="G40" s="472">
        <f t="shared" ca="1" si="22"/>
        <v>0</v>
      </c>
      <c r="H40" s="472">
        <f t="shared" ca="1" si="21"/>
        <v>2</v>
      </c>
      <c r="I40" s="472">
        <f t="shared" ca="1" si="21"/>
        <v>8</v>
      </c>
      <c r="J40" s="94">
        <f t="shared" ca="1" si="23"/>
        <v>10</v>
      </c>
      <c r="L40" s="94">
        <f t="shared" ca="1" si="24"/>
        <v>18</v>
      </c>
      <c r="O40" s="94">
        <f t="shared" ca="1" si="25"/>
        <v>14</v>
      </c>
      <c r="Q40" s="94">
        <f t="shared" ca="1" si="26"/>
        <v>32</v>
      </c>
      <c r="T40" s="94">
        <f t="shared" si="27"/>
        <v>9</v>
      </c>
      <c r="U40" s="94" t="str">
        <f t="shared" si="28"/>
        <v>7</v>
      </c>
      <c r="V40" s="94" t="str">
        <f t="shared" si="28"/>
        <v>CottonCandy Princess</v>
      </c>
      <c r="W40" s="94">
        <f t="shared" ca="1" si="29"/>
        <v>3</v>
      </c>
      <c r="Y40" s="472">
        <f t="shared" ca="1" si="30"/>
        <v>-9</v>
      </c>
      <c r="Z40" s="472">
        <f t="shared" ca="1" si="31"/>
        <v>-6</v>
      </c>
      <c r="AA40" s="472">
        <f t="shared" ca="1" si="30"/>
        <v>-11</v>
      </c>
      <c r="AB40" s="472">
        <f t="shared" ca="1" si="30"/>
        <v>-13</v>
      </c>
      <c r="AC40" s="94">
        <f t="shared" ca="1" si="32"/>
        <v>-39</v>
      </c>
      <c r="AE40" s="94">
        <f t="shared" ca="1" si="33"/>
        <v>-36</v>
      </c>
      <c r="AH40" s="94">
        <f t="shared" ca="1" si="34"/>
        <v>0</v>
      </c>
      <c r="AJ40" s="94">
        <f t="shared" ca="1" si="35"/>
        <v>-36</v>
      </c>
    </row>
    <row r="41" spans="1:36">
      <c r="A41" s="461">
        <f t="shared" si="18"/>
        <v>10</v>
      </c>
      <c r="B41" s="461" t="str">
        <f t="shared" si="19"/>
        <v>428</v>
      </c>
      <c r="C41" s="461" t="str">
        <f t="shared" si="19"/>
        <v>Freakin' Rican</v>
      </c>
      <c r="D41" s="461">
        <f t="shared" ca="1" si="20"/>
        <v>16</v>
      </c>
      <c r="F41" s="472">
        <f t="shared" ca="1" si="21"/>
        <v>0</v>
      </c>
      <c r="G41" s="472">
        <f t="shared" ca="1" si="22"/>
        <v>0</v>
      </c>
      <c r="H41" s="472">
        <f t="shared" ca="1" si="21"/>
        <v>0</v>
      </c>
      <c r="I41" s="472">
        <f t="shared" ca="1" si="21"/>
        <v>0</v>
      </c>
      <c r="J41" s="461">
        <f t="shared" ca="1" si="23"/>
        <v>0</v>
      </c>
      <c r="L41" s="461">
        <f t="shared" ca="1" si="24"/>
        <v>16</v>
      </c>
      <c r="O41" s="461">
        <f t="shared" ca="1" si="25"/>
        <v>-3</v>
      </c>
      <c r="Q41" s="461">
        <f t="shared" ca="1" si="26"/>
        <v>13</v>
      </c>
      <c r="T41" s="461">
        <f t="shared" si="27"/>
        <v>10</v>
      </c>
      <c r="U41" s="461" t="str">
        <f t="shared" si="28"/>
        <v>72</v>
      </c>
      <c r="V41" s="461" t="str">
        <f t="shared" si="28"/>
        <v>Demonica Mars</v>
      </c>
      <c r="W41" s="461">
        <f t="shared" ca="1" si="29"/>
        <v>0</v>
      </c>
      <c r="Y41" s="472">
        <f t="shared" ca="1" si="30"/>
        <v>0</v>
      </c>
      <c r="Z41" s="472">
        <f t="shared" ca="1" si="31"/>
        <v>3</v>
      </c>
      <c r="AA41" s="472">
        <f t="shared" ca="1" si="30"/>
        <v>1</v>
      </c>
      <c r="AB41" s="472">
        <f t="shared" ca="1" si="30"/>
        <v>0</v>
      </c>
      <c r="AC41" s="461">
        <f t="shared" ca="1" si="32"/>
        <v>4</v>
      </c>
      <c r="AE41" s="461">
        <f t="shared" ca="1" si="33"/>
        <v>4</v>
      </c>
      <c r="AH41" s="461">
        <f t="shared" ca="1" si="34"/>
        <v>0</v>
      </c>
      <c r="AJ41" s="461">
        <f t="shared" ca="1" si="35"/>
        <v>4</v>
      </c>
    </row>
    <row r="42" spans="1:36">
      <c r="A42" s="94">
        <f t="shared" si="18"/>
        <v>11</v>
      </c>
      <c r="B42" s="94" t="str">
        <f t="shared" si="19"/>
        <v>6</v>
      </c>
      <c r="C42" s="94" t="str">
        <f t="shared" si="19"/>
        <v>Elle McFearsome</v>
      </c>
      <c r="D42" s="94">
        <f t="shared" ca="1" si="20"/>
        <v>30</v>
      </c>
      <c r="F42" s="472">
        <f t="shared" ca="1" si="21"/>
        <v>0</v>
      </c>
      <c r="G42" s="472">
        <f t="shared" ca="1" si="22"/>
        <v>0</v>
      </c>
      <c r="H42" s="472">
        <f t="shared" ca="1" si="21"/>
        <v>0</v>
      </c>
      <c r="I42" s="472">
        <f t="shared" ca="1" si="21"/>
        <v>0</v>
      </c>
      <c r="J42" s="94">
        <f t="shared" ca="1" si="23"/>
        <v>0</v>
      </c>
      <c r="L42" s="94">
        <f t="shared" ca="1" si="24"/>
        <v>30</v>
      </c>
      <c r="O42" s="94">
        <f t="shared" ca="1" si="25"/>
        <v>0</v>
      </c>
      <c r="Q42" s="94">
        <f t="shared" ca="1" si="26"/>
        <v>30</v>
      </c>
      <c r="T42" s="94">
        <f t="shared" si="27"/>
        <v>11</v>
      </c>
      <c r="U42" s="94" t="str">
        <f t="shared" si="28"/>
        <v>9.81</v>
      </c>
      <c r="V42" s="94" t="str">
        <f t="shared" si="28"/>
        <v>Uhura Belle Death</v>
      </c>
      <c r="W42" s="94">
        <f t="shared" ca="1" si="29"/>
        <v>0</v>
      </c>
      <c r="Y42" s="472">
        <f t="shared" ca="1" si="30"/>
        <v>0</v>
      </c>
      <c r="Z42" s="472">
        <f t="shared" ca="1" si="31"/>
        <v>0</v>
      </c>
      <c r="AA42" s="472">
        <f t="shared" ca="1" si="30"/>
        <v>0</v>
      </c>
      <c r="AB42" s="472">
        <f t="shared" ca="1" si="30"/>
        <v>0</v>
      </c>
      <c r="AC42" s="94">
        <f t="shared" ca="1" si="32"/>
        <v>0</v>
      </c>
      <c r="AE42" s="94">
        <f t="shared" ca="1" si="33"/>
        <v>0</v>
      </c>
      <c r="AH42" s="94">
        <f t="shared" ca="1" si="34"/>
        <v>-15</v>
      </c>
      <c r="AJ42" s="94">
        <f t="shared" ca="1" si="35"/>
        <v>-15</v>
      </c>
    </row>
    <row r="43" spans="1:36">
      <c r="A43" s="461">
        <f t="shared" si="18"/>
        <v>12</v>
      </c>
      <c r="B43" s="461" t="str">
        <f t="shared" si="19"/>
        <v>728</v>
      </c>
      <c r="C43" s="461" t="str">
        <f t="shared" si="19"/>
        <v>Combat Cat</v>
      </c>
      <c r="D43" s="461">
        <f t="shared" ca="1" si="20"/>
        <v>0</v>
      </c>
      <c r="F43" s="472">
        <f t="shared" ca="1" si="21"/>
        <v>0</v>
      </c>
      <c r="G43" s="472">
        <f t="shared" ca="1" si="22"/>
        <v>24</v>
      </c>
      <c r="H43" s="472">
        <f t="shared" ca="1" si="21"/>
        <v>4</v>
      </c>
      <c r="I43" s="472">
        <f t="shared" ca="1" si="21"/>
        <v>4</v>
      </c>
      <c r="J43" s="461">
        <f t="shared" ca="1" si="23"/>
        <v>32</v>
      </c>
      <c r="L43" s="461">
        <f t="shared" ca="1" si="24"/>
        <v>32</v>
      </c>
      <c r="O43" s="461">
        <f t="shared" ca="1" si="25"/>
        <v>10</v>
      </c>
      <c r="Q43" s="461">
        <f t="shared" ca="1" si="26"/>
        <v>42</v>
      </c>
      <c r="T43" s="461">
        <f t="shared" si="27"/>
        <v>12</v>
      </c>
      <c r="U43" s="461" t="str">
        <f t="shared" si="28"/>
        <v>I-75</v>
      </c>
      <c r="V43" s="461" t="str">
        <f t="shared" si="28"/>
        <v>Diesel Doll</v>
      </c>
      <c r="W43" s="461">
        <f t="shared" ca="1" si="29"/>
        <v>-16</v>
      </c>
      <c r="Y43" s="472">
        <f t="shared" ca="1" si="30"/>
        <v>0</v>
      </c>
      <c r="Z43" s="472">
        <f t="shared" ca="1" si="31"/>
        <v>-4</v>
      </c>
      <c r="AA43" s="472">
        <f t="shared" ca="1" si="30"/>
        <v>-4</v>
      </c>
      <c r="AB43" s="472">
        <f t="shared" ca="1" si="30"/>
        <v>0</v>
      </c>
      <c r="AC43" s="461">
        <f t="shared" ca="1" si="32"/>
        <v>-8</v>
      </c>
      <c r="AE43" s="461">
        <f t="shared" ca="1" si="33"/>
        <v>-24</v>
      </c>
      <c r="AH43" s="461">
        <f t="shared" ca="1" si="34"/>
        <v>0</v>
      </c>
      <c r="AJ43" s="461">
        <f t="shared" ca="1" si="35"/>
        <v>-24</v>
      </c>
    </row>
    <row r="44" spans="1:36">
      <c r="A44" s="94">
        <f t="shared" si="18"/>
        <v>13</v>
      </c>
      <c r="B44" s="94" t="str">
        <f t="shared" si="19"/>
        <v>80</v>
      </c>
      <c r="C44" s="94" t="str">
        <f t="shared" si="19"/>
        <v>Mean Streak</v>
      </c>
      <c r="D44" s="94">
        <f t="shared" ca="1" si="20"/>
        <v>0</v>
      </c>
      <c r="F44" s="472">
        <f t="shared" ca="1" si="21"/>
        <v>0</v>
      </c>
      <c r="G44" s="472">
        <f t="shared" ca="1" si="22"/>
        <v>0</v>
      </c>
      <c r="H44" s="472">
        <f t="shared" ca="1" si="21"/>
        <v>0</v>
      </c>
      <c r="I44" s="472">
        <f t="shared" ca="1" si="21"/>
        <v>-1</v>
      </c>
      <c r="J44" s="94">
        <f t="shared" ca="1" si="23"/>
        <v>-1</v>
      </c>
      <c r="L44" s="94">
        <f t="shared" ca="1" si="24"/>
        <v>-1</v>
      </c>
      <c r="O44" s="94">
        <f t="shared" ca="1" si="25"/>
        <v>8</v>
      </c>
      <c r="Q44" s="94">
        <f t="shared" ca="1" si="26"/>
        <v>7</v>
      </c>
      <c r="T44" s="94">
        <f t="shared" si="27"/>
        <v>13</v>
      </c>
      <c r="U44" s="94" t="str">
        <f t="shared" si="28"/>
        <v>N2O</v>
      </c>
      <c r="V44" s="94" t="str">
        <f t="shared" si="28"/>
        <v>Cool Whip</v>
      </c>
      <c r="W44" s="94">
        <f t="shared" ca="1" si="29"/>
        <v>0</v>
      </c>
      <c r="Y44" s="472">
        <f t="shared" ca="1" si="30"/>
        <v>-4</v>
      </c>
      <c r="Z44" s="472">
        <f t="shared" ca="1" si="31"/>
        <v>-5</v>
      </c>
      <c r="AA44" s="472">
        <f t="shared" ca="1" si="30"/>
        <v>-2</v>
      </c>
      <c r="AB44" s="472">
        <f t="shared" ca="1" si="30"/>
        <v>4</v>
      </c>
      <c r="AC44" s="94">
        <f t="shared" ca="1" si="32"/>
        <v>-7</v>
      </c>
      <c r="AE44" s="94">
        <f t="shared" ca="1" si="33"/>
        <v>-7</v>
      </c>
      <c r="AH44" s="94">
        <f t="shared" ca="1" si="34"/>
        <v>0</v>
      </c>
      <c r="AJ44" s="94">
        <f t="shared" ca="1" si="35"/>
        <v>-7</v>
      </c>
    </row>
    <row r="45" spans="1:36">
      <c r="A45" s="461">
        <f t="shared" si="18"/>
        <v>14</v>
      </c>
      <c r="B45" s="461" t="str">
        <f t="shared" si="19"/>
        <v>9.99</v>
      </c>
      <c r="C45" s="461" t="str">
        <f t="shared" si="19"/>
        <v>U.S.S. DentHerPrize</v>
      </c>
      <c r="D45" s="461">
        <f t="shared" ca="1" si="20"/>
        <v>0</v>
      </c>
      <c r="F45" s="472">
        <f t="shared" ca="1" si="21"/>
        <v>0</v>
      </c>
      <c r="G45" s="472">
        <f t="shared" ca="1" si="22"/>
        <v>0</v>
      </c>
      <c r="H45" s="472">
        <f t="shared" ca="1" si="21"/>
        <v>0</v>
      </c>
      <c r="I45" s="472">
        <f t="shared" ca="1" si="21"/>
        <v>0</v>
      </c>
      <c r="J45" s="461">
        <f t="shared" ca="1" si="23"/>
        <v>0</v>
      </c>
      <c r="L45" s="461">
        <f t="shared" ca="1" si="24"/>
        <v>0</v>
      </c>
      <c r="O45" s="461">
        <f t="shared" ca="1" si="25"/>
        <v>0</v>
      </c>
      <c r="Q45" s="461">
        <f t="shared" ca="1" si="26"/>
        <v>0</v>
      </c>
      <c r="T45" s="461">
        <f t="shared" si="27"/>
        <v>14</v>
      </c>
      <c r="U45" s="461" t="str">
        <f t="shared" si="28"/>
        <v>W00T</v>
      </c>
      <c r="V45" s="461" t="str">
        <f t="shared" si="28"/>
        <v>Genniferal</v>
      </c>
      <c r="W45" s="461">
        <f t="shared" ca="1" si="29"/>
        <v>-14</v>
      </c>
      <c r="Y45" s="472">
        <f t="shared" ca="1" si="30"/>
        <v>0</v>
      </c>
      <c r="Z45" s="472">
        <f t="shared" ca="1" si="31"/>
        <v>-1</v>
      </c>
      <c r="AA45" s="472">
        <f t="shared" ca="1" si="30"/>
        <v>4</v>
      </c>
      <c r="AB45" s="472">
        <f t="shared" ca="1" si="30"/>
        <v>0</v>
      </c>
      <c r="AC45" s="461">
        <f t="shared" ca="1" si="32"/>
        <v>3</v>
      </c>
      <c r="AE45" s="461">
        <f t="shared" ca="1" si="33"/>
        <v>-11</v>
      </c>
      <c r="AH45" s="461">
        <f t="shared" ca="1" si="34"/>
        <v>0</v>
      </c>
      <c r="AJ45" s="461">
        <f t="shared" ca="1" si="35"/>
        <v>-11</v>
      </c>
    </row>
    <row r="46" spans="1:36">
      <c r="A46" s="94">
        <f t="shared" si="18"/>
        <v>15</v>
      </c>
      <c r="B46" s="94" t="str">
        <f t="shared" si="19"/>
        <v>F14</v>
      </c>
      <c r="C46" s="94" t="str">
        <f t="shared" si="19"/>
        <v>Apertorture</v>
      </c>
      <c r="D46" s="94">
        <f t="shared" ca="1" si="20"/>
        <v>0</v>
      </c>
      <c r="F46" s="472">
        <f t="shared" ca="1" si="21"/>
        <v>0</v>
      </c>
      <c r="G46" s="472">
        <f t="shared" ca="1" si="22"/>
        <v>10</v>
      </c>
      <c r="H46" s="472">
        <f t="shared" ca="1" si="21"/>
        <v>6</v>
      </c>
      <c r="I46" s="472">
        <f t="shared" ca="1" si="21"/>
        <v>20</v>
      </c>
      <c r="J46" s="94">
        <f t="shared" ca="1" si="23"/>
        <v>36</v>
      </c>
      <c r="L46" s="94">
        <f t="shared" ca="1" si="24"/>
        <v>36</v>
      </c>
      <c r="O46" s="94">
        <f t="shared" ca="1" si="25"/>
        <v>0</v>
      </c>
      <c r="Q46" s="94">
        <f t="shared" ca="1" si="26"/>
        <v>36</v>
      </c>
      <c r="T46" s="94">
        <f t="shared" si="27"/>
        <v>15</v>
      </c>
      <c r="U46" s="94" t="str">
        <f t="shared" si="28"/>
        <v>Z28</v>
      </c>
      <c r="V46" s="94" t="str">
        <f t="shared" si="28"/>
        <v>V8 Nightmare</v>
      </c>
      <c r="W46" s="94">
        <f t="shared" ca="1" si="29"/>
        <v>0</v>
      </c>
      <c r="Y46" s="472">
        <f t="shared" ca="1" si="30"/>
        <v>0</v>
      </c>
      <c r="Z46" s="472">
        <f t="shared" ca="1" si="31"/>
        <v>-2</v>
      </c>
      <c r="AA46" s="472">
        <f t="shared" ca="1" si="30"/>
        <v>4</v>
      </c>
      <c r="AB46" s="472">
        <f t="shared" ca="1" si="30"/>
        <v>0</v>
      </c>
      <c r="AC46" s="94">
        <f t="shared" ca="1" si="32"/>
        <v>2</v>
      </c>
      <c r="AE46" s="94">
        <f t="shared" ca="1" si="33"/>
        <v>2</v>
      </c>
      <c r="AH46" s="94">
        <f t="shared" ca="1" si="34"/>
        <v>0</v>
      </c>
      <c r="AJ46" s="94">
        <f t="shared" ca="1" si="35"/>
        <v>2</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43" t="s">
        <v>351</v>
      </c>
      <c r="B53" s="1343"/>
      <c r="C53" s="1343"/>
      <c r="D53" s="309"/>
      <c r="E53" s="309"/>
      <c r="F53" s="309"/>
      <c r="G53" s="309"/>
      <c r="H53" s="309"/>
      <c r="I53" s="309"/>
      <c r="J53" s="309"/>
      <c r="K53" s="309"/>
      <c r="L53" s="309"/>
      <c r="M53" s="309"/>
      <c r="N53" s="309"/>
      <c r="O53" s="309"/>
      <c r="P53" s="309"/>
      <c r="Q53" s="309"/>
      <c r="R53" s="309"/>
      <c r="T53" s="1343" t="s">
        <v>351</v>
      </c>
      <c r="U53" s="1343"/>
      <c r="V53" s="1343"/>
      <c r="W53" s="309"/>
      <c r="X53" s="309"/>
      <c r="Y53" s="309"/>
      <c r="Z53" s="309"/>
      <c r="AA53" s="309"/>
      <c r="AB53" s="309"/>
      <c r="AC53" s="309"/>
      <c r="AD53" s="309"/>
      <c r="AE53" s="309"/>
      <c r="AF53" s="309"/>
      <c r="AG53" s="309"/>
      <c r="AH53" s="309"/>
      <c r="AI53" s="309"/>
      <c r="AJ53" s="309"/>
      <c r="AK53" s="309"/>
    </row>
    <row r="54" spans="1:37">
      <c r="A54" s="466">
        <v>0</v>
      </c>
      <c r="B54" s="466" t="s">
        <v>202</v>
      </c>
      <c r="C54" s="466" t="s">
        <v>203</v>
      </c>
      <c r="D54" s="466" t="s">
        <v>187</v>
      </c>
      <c r="E54" s="302"/>
      <c r="F54" s="471" t="s">
        <v>189</v>
      </c>
      <c r="G54" s="471" t="s">
        <v>189</v>
      </c>
      <c r="H54" s="471" t="s">
        <v>189</v>
      </c>
      <c r="I54" s="471" t="s">
        <v>189</v>
      </c>
      <c r="J54" s="466" t="s">
        <v>212</v>
      </c>
      <c r="K54" s="302"/>
      <c r="L54" s="466" t="s">
        <v>214</v>
      </c>
      <c r="M54" s="302"/>
      <c r="N54" s="468" t="s">
        <v>29</v>
      </c>
      <c r="O54" s="466" t="s">
        <v>190</v>
      </c>
      <c r="P54" s="302"/>
      <c r="Q54" s="466" t="s">
        <v>23</v>
      </c>
      <c r="R54" s="302"/>
      <c r="S54" s="302"/>
      <c r="T54" s="466">
        <v>0</v>
      </c>
      <c r="U54" s="466" t="s">
        <v>202</v>
      </c>
      <c r="V54" s="466" t="s">
        <v>203</v>
      </c>
      <c r="W54" s="466" t="s">
        <v>187</v>
      </c>
      <c r="X54" s="302"/>
      <c r="Y54" s="471" t="s">
        <v>189</v>
      </c>
      <c r="Z54" s="471" t="s">
        <v>189</v>
      </c>
      <c r="AA54" s="471" t="s">
        <v>189</v>
      </c>
      <c r="AB54" s="471" t="s">
        <v>189</v>
      </c>
      <c r="AC54" s="466" t="s">
        <v>212</v>
      </c>
      <c r="AD54" s="302"/>
      <c r="AE54" s="466" t="s">
        <v>214</v>
      </c>
      <c r="AF54" s="302"/>
      <c r="AG54" s="468" t="s">
        <v>29</v>
      </c>
      <c r="AH54" s="466" t="s">
        <v>190</v>
      </c>
      <c r="AI54" s="302"/>
      <c r="AJ54" s="466" t="s">
        <v>23</v>
      </c>
      <c r="AK54" s="302"/>
    </row>
    <row r="55" spans="1:37">
      <c r="A55" s="94">
        <f t="shared" ref="A55:A74" si="36">A54+1</f>
        <v>1</v>
      </c>
      <c r="B55" s="94" t="str">
        <f t="shared" ref="B55:C74" si="37">B9</f>
        <v>138</v>
      </c>
      <c r="C55" s="94" t="str">
        <f t="shared" si="37"/>
        <v>Mag Pie</v>
      </c>
      <c r="D55" s="94">
        <f ca="1">IF($B55="","",SUMPRODUCT(--(Lineups!$F$4:$F$79=$B55),--(Lineups!$B$4:$B$79=""),Lineups!$S$4:$S$79))</f>
        <v>0</v>
      </c>
      <c r="F55" s="472">
        <f ca="1">IF($B55="","",SUMPRODUCT(--(Lineups!$F$4:$F$79=$B55),--(Lineups!$B$4:$B$79="X"),Lineups!$S$4:$S$79))</f>
        <v>0</v>
      </c>
      <c r="G55" s="472">
        <f ca="1">IF($B55="","",SUMPRODUCT(--(Lineups!$I$4:$I$79=$B55),Lineups!$S$4:$S$79))</f>
        <v>0</v>
      </c>
      <c r="H55" s="472">
        <f ca="1">IF($B55="","",SUMPRODUCT(--(Lineups!$L$4:$L$79=$B55),Lineups!$S$4:$S$79))</f>
        <v>4</v>
      </c>
      <c r="I55" s="472">
        <f ca="1">IF($B55="","",SUMPRODUCT(--(Lineups!$O$4:$O$79=$B55),Lineups!$S$4:$S$79))</f>
        <v>4</v>
      </c>
      <c r="J55" s="94">
        <f t="shared" ref="J55:J74" ca="1" si="38">IF(B55="","",SUM(F55:I55))</f>
        <v>8</v>
      </c>
      <c r="L55" s="94">
        <f t="shared" ref="L55:L74" ca="1" si="39">IF(B55="","",SUM(D55,J55))</f>
        <v>8</v>
      </c>
      <c r="O55" s="94">
        <f ca="1">IF($B55="","",SUMPRODUCT(--(Lineups!$C$4:$C$79=$B55),Lineups!$S$4:$S$79))</f>
        <v>0</v>
      </c>
      <c r="Q55" s="94">
        <f t="shared" ref="Q55:Q74" ca="1" si="40">IF(B55="","",SUM(L55,O55))</f>
        <v>8</v>
      </c>
      <c r="T55" s="94">
        <f t="shared" ref="T55:T74" si="41">T54+1</f>
        <v>1</v>
      </c>
      <c r="U55" s="94" t="str">
        <f t="shared" ref="U55:V74" si="42">U9</f>
        <v>182</v>
      </c>
      <c r="V55" s="94" t="str">
        <f t="shared" si="42"/>
        <v>Travis Blocker</v>
      </c>
      <c r="W55" s="94">
        <f ca="1">IF($U55="","",SUMPRODUCT(--(Lineups!$AB$4:$AB$79=$U55),--(Lineups!$X$4:$X$79=""),Lineups!$AO$4:$AO$79))</f>
        <v>0</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4</v>
      </c>
      <c r="AC55" s="94">
        <f t="shared" ref="AC55:AC74" ca="1" si="43">IF(U55="","",SUM(Y55:AB55))</f>
        <v>4</v>
      </c>
      <c r="AE55" s="94">
        <f t="shared" ref="AE55:AE74" ca="1" si="44">IF(U55="","",SUM(W55,AC55))</f>
        <v>4</v>
      </c>
      <c r="AH55" s="94">
        <f ca="1">IF($U55="","",SUMPRODUCT(--(Lineups!$Y$4:$Y$79=$U55),Lineups!$AO$4:$AO$79))</f>
        <v>0</v>
      </c>
      <c r="AJ55" s="94">
        <f t="shared" ref="AJ55:AJ74" ca="1" si="45">IF(U55="","",SUM(AE55,AH55))</f>
        <v>4</v>
      </c>
    </row>
    <row r="56" spans="1:37">
      <c r="A56" s="461">
        <f t="shared" si="36"/>
        <v>2</v>
      </c>
      <c r="B56" s="461" t="str">
        <f t="shared" si="37"/>
        <v>181</v>
      </c>
      <c r="C56" s="461" t="str">
        <f t="shared" si="37"/>
        <v>Vega Vendetta</v>
      </c>
      <c r="D56" s="461">
        <f ca="1">IF($B56="","",SUMPRODUCT(--(Lineups!$F$4:$F$79=$B56),--(Lineups!$B$4:$B$79=""),Lineups!$S$4:$S$79))</f>
        <v>0</v>
      </c>
      <c r="F56" s="472">
        <f ca="1">IF($B56="","",SUMPRODUCT(--(Lineups!$F$4:$F$79=$B56),--(Lineups!$B$4:$B$79="X"),Lineups!$S$4:$S$79))</f>
        <v>0</v>
      </c>
      <c r="G56" s="472">
        <f ca="1">IF($B56="","",SUMPRODUCT(--(Lineups!$I$4:$I$79=$B56),Lineups!$S$4:$S$79))</f>
        <v>16</v>
      </c>
      <c r="H56" s="472">
        <f ca="1">IF($B56="","",SUMPRODUCT(--(Lineups!$L$4:$L$79=$B56),Lineups!$S$4:$S$79))</f>
        <v>25</v>
      </c>
      <c r="I56" s="472">
        <f ca="1">IF($B56="","",SUMPRODUCT(--(Lineups!$O$4:$O$79=$B56),Lineups!$S$4:$S$79))</f>
        <v>0</v>
      </c>
      <c r="J56" s="461">
        <f t="shared" ca="1" si="38"/>
        <v>41</v>
      </c>
      <c r="L56" s="461">
        <f t="shared" ca="1" si="39"/>
        <v>41</v>
      </c>
      <c r="O56" s="461">
        <f ca="1">IF($B56="","",SUMPRODUCT(--(Lineups!$C$4:$C$79=$B56),Lineups!$S$4:$S$79))</f>
        <v>0</v>
      </c>
      <c r="Q56" s="461">
        <f t="shared" ca="1" si="40"/>
        <v>41</v>
      </c>
      <c r="T56" s="461">
        <f t="shared" si="41"/>
        <v>2</v>
      </c>
      <c r="U56" s="461" t="str">
        <f t="shared" si="42"/>
        <v>2¢</v>
      </c>
      <c r="V56" s="461" t="str">
        <f t="shared" si="42"/>
        <v>Vera Toss</v>
      </c>
      <c r="W56" s="461">
        <f ca="1">IF($U56="","",SUMPRODUCT(--(Lineups!$AB$4:$AB$79=$U56),--(Lineups!$X$4:$X$79=""),Lineups!$AO$4:$AO$79))</f>
        <v>0</v>
      </c>
      <c r="Y56" s="472">
        <f ca="1">IF($U56="","",SUMPRODUCT(--(Lineups!$AB$4:$AB$79=$U56),--(Lineups!$X$4:$X$79="X"),Lineups!$AO$4:$AO$79))</f>
        <v>0</v>
      </c>
      <c r="Z56" s="472">
        <f ca="1">IF($U56="","",SUMPRODUCT(--(Lineups!$AE$4:$AE$79=$U56),Lineups!$AO$4:$AO$79))</f>
        <v>0</v>
      </c>
      <c r="AA56" s="472">
        <f ca="1">IF($U56="","",SUMPRODUCT(--(Lineups!$AH$4:$AH$79=$U56),Lineups!$AO$4:$AO$79))</f>
        <v>3</v>
      </c>
      <c r="AB56" s="472">
        <f ca="1">IF($U56="","",SUMPRODUCT(--(Lineups!$AK$4:$AK$79=$U56),Lineups!$AO$4:$AO$79))</f>
        <v>0</v>
      </c>
      <c r="AC56" s="461">
        <f t="shared" ca="1" si="43"/>
        <v>3</v>
      </c>
      <c r="AE56" s="461">
        <f t="shared" ca="1" si="44"/>
        <v>3</v>
      </c>
      <c r="AH56" s="461">
        <f ca="1">IF($U56="","",SUMPRODUCT(--(Lineups!$Y$4:$Y$79=$U56),Lineups!$AO$4:$AO$79))</f>
        <v>0</v>
      </c>
      <c r="AJ56" s="461">
        <f t="shared" ca="1" si="45"/>
        <v>3</v>
      </c>
    </row>
    <row r="57" spans="1:37">
      <c r="A57" s="94">
        <f t="shared" si="36"/>
        <v>3</v>
      </c>
      <c r="B57" s="94" t="str">
        <f t="shared" si="37"/>
        <v>1821</v>
      </c>
      <c r="C57" s="94" t="str">
        <f t="shared" si="37"/>
        <v>Mexi-Go</v>
      </c>
      <c r="D57" s="94">
        <f ca="1">IF($B57="","",SUMPRODUCT(--(Lineups!$F$4:$F$79=$B57),--(Lineups!$B$4:$B$79=""),Lineups!$S$4:$S$79))</f>
        <v>0</v>
      </c>
      <c r="F57" s="472">
        <f ca="1">IF($B57="","",SUMPRODUCT(--(Lineups!$F$4:$F$79=$B57),--(Lineups!$B$4:$B$79="X"),Lineups!$S$4:$S$79))</f>
        <v>0</v>
      </c>
      <c r="G57" s="472">
        <f ca="1">IF($B57="","",SUMPRODUCT(--(Lineups!$I$4:$I$79=$B57),Lineups!$S$4:$S$79))</f>
        <v>0</v>
      </c>
      <c r="H57" s="472">
        <f ca="1">IF($B57="","",SUMPRODUCT(--(Lineups!$L$4:$L$79=$B57),Lineups!$S$4:$S$79))</f>
        <v>17</v>
      </c>
      <c r="I57" s="472">
        <f ca="1">IF($B57="","",SUMPRODUCT(--(Lineups!$O$4:$O$79=$B57),Lineups!$S$4:$S$79))</f>
        <v>2</v>
      </c>
      <c r="J57" s="94">
        <f t="shared" ca="1" si="38"/>
        <v>19</v>
      </c>
      <c r="L57" s="94">
        <f t="shared" ca="1" si="39"/>
        <v>19</v>
      </c>
      <c r="O57" s="94">
        <f ca="1">IF($B57="","",SUMPRODUCT(--(Lineups!$C$4:$C$79=$B57),Lineups!$S$4:$S$79))</f>
        <v>0</v>
      </c>
      <c r="Q57" s="94">
        <f t="shared" ca="1" si="40"/>
        <v>19</v>
      </c>
      <c r="T57" s="94">
        <f t="shared" si="41"/>
        <v>3</v>
      </c>
      <c r="U57" s="94" t="str">
        <f t="shared" si="42"/>
        <v>24/7</v>
      </c>
      <c r="V57" s="94" t="str">
        <f t="shared" si="42"/>
        <v>boo d. livers</v>
      </c>
      <c r="W57" s="94">
        <f ca="1">IF($U57="","",SUMPRODUCT(--(Lineups!$AB$4:$AB$79=$U57),--(Lineups!$X$4:$X$79=""),Lineups!$AO$4:$AO$79))</f>
        <v>0</v>
      </c>
      <c r="Y57" s="472">
        <f ca="1">IF($U57="","",SUMPRODUCT(--(Lineups!$AB$4:$AB$79=$U57),--(Lineups!$X$4:$X$79="X"),Lineups!$AO$4:$AO$79))</f>
        <v>0</v>
      </c>
      <c r="Z57" s="472">
        <f ca="1">IF($U57="","",SUMPRODUCT(--(Lineups!$AE$4:$AE$79=$U57),Lineups!$AO$4:$AO$79))</f>
        <v>0</v>
      </c>
      <c r="AA57" s="472">
        <f ca="1">IF($U57="","",SUMPRODUCT(--(Lineups!$AH$4:$AH$79=$U57),Lineups!$AO$4:$AO$79))</f>
        <v>4</v>
      </c>
      <c r="AB57" s="472">
        <f ca="1">IF($U57="","",SUMPRODUCT(--(Lineups!$AK$4:$AK$79=$U57),Lineups!$AO$4:$AO$79))</f>
        <v>10</v>
      </c>
      <c r="AC57" s="94">
        <f t="shared" ca="1" si="43"/>
        <v>14</v>
      </c>
      <c r="AE57" s="94">
        <f t="shared" ca="1" si="44"/>
        <v>14</v>
      </c>
      <c r="AH57" s="94">
        <f ca="1">IF($U57="","",SUMPRODUCT(--(Lineups!$Y$4:$Y$79=$U57),Lineups!$AO$4:$AO$79))</f>
        <v>1</v>
      </c>
      <c r="AJ57" s="94">
        <f t="shared" ca="1" si="45"/>
        <v>15</v>
      </c>
    </row>
    <row r="58" spans="1:37">
      <c r="A58" s="461">
        <f t="shared" si="36"/>
        <v>4</v>
      </c>
      <c r="B58" s="461" t="str">
        <f t="shared" si="37"/>
        <v>187</v>
      </c>
      <c r="C58" s="461" t="str">
        <f t="shared" si="37"/>
        <v>VeroniKILL</v>
      </c>
      <c r="D58" s="461">
        <f ca="1">IF($B58="","",SUMPRODUCT(--(Lineups!$F$4:$F$79=$B58),--(Lineups!$B$4:$B$79=""),Lineups!$S$4:$S$79))</f>
        <v>0</v>
      </c>
      <c r="F58" s="472">
        <f ca="1">IF($B58="","",SUMPRODUCT(--(Lineups!$F$4:$F$79=$B58),--(Lineups!$B$4:$B$79="X"),Lineups!$S$4:$S$79))</f>
        <v>0</v>
      </c>
      <c r="G58" s="472">
        <f ca="1">IF($B58="","",SUMPRODUCT(--(Lineups!$I$4:$I$79=$B58),Lineups!$S$4:$S$79))</f>
        <v>4</v>
      </c>
      <c r="H58" s="472">
        <f ca="1">IF($B58="","",SUMPRODUCT(--(Lineups!$L$4:$L$79=$B58),Lineups!$S$4:$S$79))</f>
        <v>1</v>
      </c>
      <c r="I58" s="472">
        <f ca="1">IF($B58="","",SUMPRODUCT(--(Lineups!$O$4:$O$79=$B58),Lineups!$S$4:$S$79))</f>
        <v>10</v>
      </c>
      <c r="J58" s="461">
        <f t="shared" ca="1" si="38"/>
        <v>15</v>
      </c>
      <c r="L58" s="461">
        <f t="shared" ca="1" si="39"/>
        <v>15</v>
      </c>
      <c r="O58" s="461">
        <f ca="1">IF($B58="","",SUMPRODUCT(--(Lineups!$C$4:$C$79=$B58),Lineups!$S$4:$S$79))</f>
        <v>0</v>
      </c>
      <c r="Q58" s="461">
        <f t="shared" ca="1" si="40"/>
        <v>15</v>
      </c>
      <c r="T58" s="461">
        <f t="shared" si="41"/>
        <v>4</v>
      </c>
      <c r="U58" s="461" t="str">
        <f t="shared" si="42"/>
        <v>27</v>
      </c>
      <c r="V58" s="461" t="str">
        <f t="shared" si="42"/>
        <v>A.O. Lesgo</v>
      </c>
      <c r="W58" s="461">
        <f ca="1">IF($U58="","",SUMPRODUCT(--(Lineups!$AB$4:$AB$79=$U58),--(Lineups!$X$4:$X$79=""),Lineups!$AO$4:$AO$79))</f>
        <v>0</v>
      </c>
      <c r="Y58" s="472">
        <f ca="1">IF($U58="","",SUMPRODUCT(--(Lineups!$AB$4:$AB$79=$U58),--(Lineups!$X$4:$X$79="X"),Lineups!$AO$4:$AO$79))</f>
        <v>0</v>
      </c>
      <c r="Z58" s="472">
        <f ca="1">IF($U58="","",SUMPRODUCT(--(Lineups!$AE$4:$AE$79=$U58),Lineups!$AO$4:$AO$79))</f>
        <v>0</v>
      </c>
      <c r="AA58" s="472">
        <f ca="1">IF($U58="","",SUMPRODUCT(--(Lineups!$AH$4:$AH$79=$U58),Lineups!$AO$4:$AO$79))</f>
        <v>4</v>
      </c>
      <c r="AB58" s="472">
        <f ca="1">IF($U58="","",SUMPRODUCT(--(Lineups!$AK$4:$AK$79=$U58),Lineups!$AO$4:$AO$79))</f>
        <v>5</v>
      </c>
      <c r="AC58" s="461">
        <f t="shared" ca="1" si="43"/>
        <v>9</v>
      </c>
      <c r="AE58" s="461">
        <f t="shared" ca="1" si="44"/>
        <v>9</v>
      </c>
      <c r="AH58" s="461">
        <f ca="1">IF($U58="","",SUMPRODUCT(--(Lineups!$Y$4:$Y$79=$U58),Lineups!$AO$4:$AO$79))</f>
        <v>0</v>
      </c>
      <c r="AJ58" s="461">
        <f t="shared" ca="1" si="45"/>
        <v>9</v>
      </c>
    </row>
    <row r="59" spans="1:37">
      <c r="A59" s="94">
        <f t="shared" si="36"/>
        <v>5</v>
      </c>
      <c r="B59" s="94" t="str">
        <f t="shared" si="37"/>
        <v>1879</v>
      </c>
      <c r="C59" s="94" t="str">
        <f t="shared" si="37"/>
        <v>Belle Isle Hurtya</v>
      </c>
      <c r="D59" s="94">
        <f ca="1">IF($B59="","",SUMPRODUCT(--(Lineups!$F$4:$F$79=$B59),--(Lineups!$B$4:$B$79=""),Lineups!$S$4:$S$79))</f>
        <v>0</v>
      </c>
      <c r="F59" s="472">
        <f ca="1">IF($B59="","",SUMPRODUCT(--(Lineups!$F$4:$F$79=$B59),--(Lineups!$B$4:$B$79="X"),Lineups!$S$4:$S$79))</f>
        <v>0</v>
      </c>
      <c r="G59" s="472">
        <f ca="1">IF($B59="","",SUMPRODUCT(--(Lineups!$I$4:$I$79=$B59),Lineups!$S$4:$S$79))</f>
        <v>2</v>
      </c>
      <c r="H59" s="472">
        <f ca="1">IF($B59="","",SUMPRODUCT(--(Lineups!$L$4:$L$79=$B59),Lineups!$S$4:$S$79))</f>
        <v>4</v>
      </c>
      <c r="I59" s="472">
        <f ca="1">IF($B59="","",SUMPRODUCT(--(Lineups!$O$4:$O$79=$B59),Lineups!$S$4:$S$79))</f>
        <v>8</v>
      </c>
      <c r="J59" s="94">
        <f t="shared" ca="1" si="38"/>
        <v>14</v>
      </c>
      <c r="L59" s="94">
        <f t="shared" ca="1" si="39"/>
        <v>14</v>
      </c>
      <c r="O59" s="94">
        <f ca="1">IF($B59="","",SUMPRODUCT(--(Lineups!$C$4:$C$79=$B59),Lineups!$S$4:$S$79))</f>
        <v>0</v>
      </c>
      <c r="Q59" s="94">
        <f t="shared" ca="1" si="40"/>
        <v>14</v>
      </c>
      <c r="T59" s="94">
        <f t="shared" si="41"/>
        <v>5</v>
      </c>
      <c r="U59" s="94" t="str">
        <f t="shared" si="42"/>
        <v>38DD</v>
      </c>
      <c r="V59" s="94" t="str">
        <f t="shared" si="42"/>
        <v>Tig O' Hitties</v>
      </c>
      <c r="W59" s="94">
        <f ca="1">IF($U59="","",SUMPRODUCT(--(Lineups!$AB$4:$AB$79=$U59),--(Lineups!$X$4:$X$79=""),Lineups!$AO$4:$AO$79))</f>
        <v>0</v>
      </c>
      <c r="Y59" s="472">
        <f ca="1">IF($U59="","",SUMPRODUCT(--(Lineups!$AB$4:$AB$79=$U59),--(Lineups!$X$4:$X$79="X"),Lineups!$AO$4:$AO$79))</f>
        <v>0</v>
      </c>
      <c r="Z59" s="472">
        <f ca="1">IF($U59="","",SUMPRODUCT(--(Lineups!$AE$4:$AE$79=$U59),Lineups!$AO$4:$AO$79))</f>
        <v>4</v>
      </c>
      <c r="AA59" s="472">
        <f ca="1">IF($U59="","",SUMPRODUCT(--(Lineups!$AH$4:$AH$79=$U59),Lineups!$AO$4:$AO$79))</f>
        <v>11</v>
      </c>
      <c r="AB59" s="472">
        <f ca="1">IF($U59="","",SUMPRODUCT(--(Lineups!$AK$4:$AK$79=$U59),Lineups!$AO$4:$AO$79))</f>
        <v>0</v>
      </c>
      <c r="AC59" s="94">
        <f t="shared" ca="1" si="43"/>
        <v>15</v>
      </c>
      <c r="AE59" s="94">
        <f t="shared" ca="1" si="44"/>
        <v>15</v>
      </c>
      <c r="AH59" s="94">
        <f ca="1">IF($U59="","",SUMPRODUCT(--(Lineups!$Y$4:$Y$79=$U59),Lineups!$AO$4:$AO$79))</f>
        <v>0</v>
      </c>
      <c r="AJ59" s="94">
        <f t="shared" ca="1" si="45"/>
        <v>15</v>
      </c>
    </row>
    <row r="60" spans="1:37">
      <c r="A60" s="461">
        <f t="shared" si="36"/>
        <v>6</v>
      </c>
      <c r="B60" s="461" t="str">
        <f t="shared" si="37"/>
        <v>20</v>
      </c>
      <c r="C60" s="461" t="str">
        <f t="shared" si="37"/>
        <v>Devil Kitty</v>
      </c>
      <c r="D60" s="461">
        <f ca="1">IF($B60="","",SUMPRODUCT(--(Lineups!$F$4:$F$79=$B60),--(Lineups!$B$4:$B$79=""),Lineups!$S$4:$S$79))</f>
        <v>8</v>
      </c>
      <c r="F60" s="472">
        <f ca="1">IF($B60="","",SUMPRODUCT(--(Lineups!$F$4:$F$79=$B60),--(Lineups!$B$4:$B$79="X"),Lineups!$S$4:$S$79))</f>
        <v>0</v>
      </c>
      <c r="G60" s="472">
        <f ca="1">IF($B60="","",SUMPRODUCT(--(Lineups!$I$4:$I$79=$B60),Lineups!$S$4:$S$79))</f>
        <v>0</v>
      </c>
      <c r="H60" s="472">
        <f ca="1">IF($B60="","",SUMPRODUCT(--(Lineups!$L$4:$L$79=$B60),Lineups!$S$4:$S$79))</f>
        <v>0</v>
      </c>
      <c r="I60" s="472">
        <f ca="1">IF($B60="","",SUMPRODUCT(--(Lineups!$O$4:$O$79=$B60),Lineups!$S$4:$S$79))</f>
        <v>0</v>
      </c>
      <c r="J60" s="461">
        <f t="shared" ca="1" si="38"/>
        <v>0</v>
      </c>
      <c r="L60" s="461">
        <f t="shared" ca="1" si="39"/>
        <v>8</v>
      </c>
      <c r="O60" s="461">
        <f ca="1">IF($B60="","",SUMPRODUCT(--(Lineups!$C$4:$C$79=$B60),Lineups!$S$4:$S$79))</f>
        <v>0</v>
      </c>
      <c r="Q60" s="461">
        <f t="shared" ca="1" si="40"/>
        <v>8</v>
      </c>
      <c r="T60" s="461">
        <f t="shared" si="41"/>
        <v>6</v>
      </c>
      <c r="U60" s="461" t="str">
        <f t="shared" si="42"/>
        <v>42</v>
      </c>
      <c r="V60" s="461" t="str">
        <f t="shared" si="42"/>
        <v>Midnite Vulture</v>
      </c>
      <c r="W60" s="461">
        <f ca="1">IF($U60="","",SUMPRODUCT(--(Lineups!$AB$4:$AB$79=$U60),--(Lineups!$X$4:$X$79=""),Lineups!$AO$4:$AO$79))</f>
        <v>0</v>
      </c>
      <c r="Y60" s="472">
        <f ca="1">IF($U60="","",SUMPRODUCT(--(Lineups!$AB$4:$AB$79=$U60),--(Lineups!$X$4:$X$79="X"),Lineups!$AO$4:$AO$79))</f>
        <v>0</v>
      </c>
      <c r="Z60" s="472">
        <f ca="1">IF($U60="","",SUMPRODUCT(--(Lineups!$AE$4:$AE$79=$U60),Lineups!$AO$4:$AO$79))</f>
        <v>0</v>
      </c>
      <c r="AA60" s="472">
        <f ca="1">IF($U60="","",SUMPRODUCT(--(Lineups!$AH$4:$AH$79=$U60),Lineups!$AO$4:$AO$79))</f>
        <v>0</v>
      </c>
      <c r="AB60" s="472">
        <f ca="1">IF($U60="","",SUMPRODUCT(--(Lineups!$AK$4:$AK$79=$U60),Lineups!$AO$4:$AO$79))</f>
        <v>3</v>
      </c>
      <c r="AC60" s="461">
        <f t="shared" ca="1" si="43"/>
        <v>3</v>
      </c>
      <c r="AE60" s="461">
        <f t="shared" ca="1" si="44"/>
        <v>3</v>
      </c>
      <c r="AH60" s="461">
        <f ca="1">IF($U60="","",SUMPRODUCT(--(Lineups!$Y$4:$Y$79=$U60),Lineups!$AO$4:$AO$79))</f>
        <v>4</v>
      </c>
      <c r="AJ60" s="461">
        <f t="shared" ca="1" si="45"/>
        <v>7</v>
      </c>
    </row>
    <row r="61" spans="1:37">
      <c r="A61" s="94">
        <f t="shared" si="36"/>
        <v>7</v>
      </c>
      <c r="B61" s="94" t="str">
        <f t="shared" si="37"/>
        <v>20KN</v>
      </c>
      <c r="C61" s="94" t="str">
        <f t="shared" si="37"/>
        <v>Kraken Whips</v>
      </c>
      <c r="D61" s="94">
        <f ca="1">IF($B61="","",SUMPRODUCT(--(Lineups!$F$4:$F$79=$B61),--(Lineups!$B$4:$B$79=""),Lineups!$S$4:$S$79))</f>
        <v>0</v>
      </c>
      <c r="F61" s="472">
        <f ca="1">IF($B61="","",SUMPRODUCT(--(Lineups!$F$4:$F$79=$B61),--(Lineups!$B$4:$B$79="X"),Lineups!$S$4:$S$79))</f>
        <v>0</v>
      </c>
      <c r="G61" s="472">
        <f ca="1">IF($B61="","",SUMPRODUCT(--(Lineups!$I$4:$I$79=$B61),Lineups!$S$4:$S$79))</f>
        <v>0</v>
      </c>
      <c r="H61" s="472">
        <f ca="1">IF($B61="","",SUMPRODUCT(--(Lineups!$L$4:$L$79=$B61),Lineups!$S$4:$S$79))</f>
        <v>4</v>
      </c>
      <c r="I61" s="472">
        <f ca="1">IF($B61="","",SUMPRODUCT(--(Lineups!$O$4:$O$79=$B61),Lineups!$S$4:$S$79))</f>
        <v>0</v>
      </c>
      <c r="J61" s="94">
        <f t="shared" ca="1" si="38"/>
        <v>4</v>
      </c>
      <c r="L61" s="94">
        <f t="shared" ca="1" si="39"/>
        <v>4</v>
      </c>
      <c r="O61" s="94">
        <f ca="1">IF($B61="","",SUMPRODUCT(--(Lineups!$C$4:$C$79=$B61),Lineups!$S$4:$S$79))</f>
        <v>20</v>
      </c>
      <c r="Q61" s="94">
        <f t="shared" ca="1" si="40"/>
        <v>24</v>
      </c>
      <c r="T61" s="94">
        <f t="shared" si="41"/>
        <v>7</v>
      </c>
      <c r="U61" s="94" t="str">
        <f t="shared" si="42"/>
        <v>50</v>
      </c>
      <c r="V61" s="94" t="str">
        <f t="shared" si="42"/>
        <v>Sam-I-Slam</v>
      </c>
      <c r="W61" s="94">
        <f ca="1">IF($U61="","",SUMPRODUCT(--(Lineups!$AB$4:$AB$79=$U61),--(Lineups!$X$4:$X$79=""),Lineups!$AO$4:$AO$79))</f>
        <v>0</v>
      </c>
      <c r="Y61" s="472">
        <f ca="1">IF($U61="","",SUMPRODUCT(--(Lineups!$AB$4:$AB$79=$U61),--(Lineups!$X$4:$X$79="X"),Lineups!$AO$4:$AO$79))</f>
        <v>0</v>
      </c>
      <c r="Z61" s="472">
        <f ca="1">IF($U61="","",SUMPRODUCT(--(Lineups!$AE$4:$AE$79=$U61),Lineups!$AO$4:$AO$79))</f>
        <v>0</v>
      </c>
      <c r="AA61" s="472">
        <f ca="1">IF($U61="","",SUMPRODUCT(--(Lineups!$AH$4:$AH$79=$U61),Lineups!$AO$4:$AO$79))</f>
        <v>0</v>
      </c>
      <c r="AB61" s="472">
        <f ca="1">IF($U61="","",SUMPRODUCT(--(Lineups!$AK$4:$AK$79=$U61),Lineups!$AO$4:$AO$79))</f>
        <v>0</v>
      </c>
      <c r="AC61" s="94">
        <f t="shared" ca="1" si="43"/>
        <v>0</v>
      </c>
      <c r="AE61" s="94">
        <f t="shared" ca="1" si="44"/>
        <v>0</v>
      </c>
      <c r="AH61" s="94">
        <f ca="1">IF($U61="","",SUMPRODUCT(--(Lineups!$Y$4:$Y$79=$U61),Lineups!$AO$4:$AO$79))</f>
        <v>0</v>
      </c>
      <c r="AJ61" s="94">
        <f t="shared" ca="1" si="45"/>
        <v>0</v>
      </c>
    </row>
    <row r="62" spans="1:37">
      <c r="A62" s="461">
        <f t="shared" si="36"/>
        <v>8</v>
      </c>
      <c r="B62" s="461" t="str">
        <f t="shared" si="37"/>
        <v>212</v>
      </c>
      <c r="C62" s="461" t="str">
        <f t="shared" si="37"/>
        <v>Wham!tramck</v>
      </c>
      <c r="D62" s="461">
        <f ca="1">IF($B62="","",SUMPRODUCT(--(Lineups!$F$4:$F$79=$B62),--(Lineups!$B$4:$B$79=""),Lineups!$S$4:$S$79))</f>
        <v>0</v>
      </c>
      <c r="F62" s="472">
        <f ca="1">IF($B62="","",SUMPRODUCT(--(Lineups!$F$4:$F$79=$B62),--(Lineups!$B$4:$B$79="X"),Lineups!$S$4:$S$79))</f>
        <v>0</v>
      </c>
      <c r="G62" s="472">
        <f ca="1">IF($B62="","",SUMPRODUCT(--(Lineups!$I$4:$I$79=$B62),Lineups!$S$4:$S$79))</f>
        <v>18</v>
      </c>
      <c r="H62" s="472">
        <f ca="1">IF($B62="","",SUMPRODUCT(--(Lineups!$L$4:$L$79=$B62),Lineups!$S$4:$S$79))</f>
        <v>0</v>
      </c>
      <c r="I62" s="472">
        <f ca="1">IF($B62="","",SUMPRODUCT(--(Lineups!$O$4:$O$79=$B62),Lineups!$S$4:$S$79))</f>
        <v>14</v>
      </c>
      <c r="J62" s="461">
        <f t="shared" ca="1" si="38"/>
        <v>32</v>
      </c>
      <c r="L62" s="461">
        <f t="shared" ca="1" si="39"/>
        <v>32</v>
      </c>
      <c r="O62" s="461">
        <f ca="1">IF($B62="","",SUMPRODUCT(--(Lineups!$C$4:$C$79=$B62),Lineups!$S$4:$S$79))</f>
        <v>0</v>
      </c>
      <c r="Q62" s="461">
        <f t="shared" ca="1" si="40"/>
        <v>32</v>
      </c>
      <c r="T62" s="461">
        <f t="shared" si="41"/>
        <v>8</v>
      </c>
      <c r="U62" s="461" t="str">
        <f t="shared" si="42"/>
        <v>620</v>
      </c>
      <c r="V62" s="461" t="str">
        <f t="shared" si="42"/>
        <v>Lazer Beam</v>
      </c>
      <c r="W62" s="461">
        <f ca="1">IF($U62="","",SUMPRODUCT(--(Lineups!$AB$4:$AB$79=$U62),--(Lineups!$X$4:$X$79=""),Lineups!$AO$4:$AO$79))</f>
        <v>0</v>
      </c>
      <c r="Y62" s="472">
        <f ca="1">IF($U62="","",SUMPRODUCT(--(Lineups!$AB$4:$AB$79=$U62),--(Lineups!$X$4:$X$79="X"),Lineups!$AO$4:$AO$79))</f>
        <v>0</v>
      </c>
      <c r="Z62" s="472">
        <f ca="1">IF($U62="","",SUMPRODUCT(--(Lineups!$AE$4:$AE$79=$U62),Lineups!$AO$4:$AO$79))</f>
        <v>0</v>
      </c>
      <c r="AA62" s="472">
        <f ca="1">IF($U62="","",SUMPRODUCT(--(Lineups!$AH$4:$AH$79=$U62),Lineups!$AO$4:$AO$79))</f>
        <v>0</v>
      </c>
      <c r="AB62" s="472">
        <f ca="1">IF($U62="","",SUMPRODUCT(--(Lineups!$AK$4:$AK$79=$U62),Lineups!$AO$4:$AO$79))</f>
        <v>0</v>
      </c>
      <c r="AC62" s="461">
        <f t="shared" ca="1" si="43"/>
        <v>0</v>
      </c>
      <c r="AE62" s="461">
        <f t="shared" ca="1" si="44"/>
        <v>0</v>
      </c>
      <c r="AH62" s="461">
        <f ca="1">IF($U62="","",SUMPRODUCT(--(Lineups!$Y$4:$Y$79=$U62),Lineups!$AO$4:$AO$79))</f>
        <v>21</v>
      </c>
      <c r="AJ62" s="461">
        <f t="shared" ca="1" si="45"/>
        <v>21</v>
      </c>
    </row>
    <row r="63" spans="1:37">
      <c r="A63" s="94">
        <f t="shared" si="36"/>
        <v>9</v>
      </c>
      <c r="B63" s="94" t="str">
        <f t="shared" si="37"/>
        <v>33 1/3</v>
      </c>
      <c r="C63" s="94" t="str">
        <f t="shared" si="37"/>
        <v>Cookie Rumble</v>
      </c>
      <c r="D63" s="94">
        <f ca="1">IF($B63="","",SUMPRODUCT(--(Lineups!$F$4:$F$79=$B63),--(Lineups!$B$4:$B$79=""),Lineups!$S$4:$S$79))</f>
        <v>8</v>
      </c>
      <c r="F63" s="472">
        <f ca="1">IF($B63="","",SUMPRODUCT(--(Lineups!$F$4:$F$79=$B63),--(Lineups!$B$4:$B$79="X"),Lineups!$S$4:$S$79))</f>
        <v>0</v>
      </c>
      <c r="G63" s="472">
        <f ca="1">IF($B63="","",SUMPRODUCT(--(Lineups!$I$4:$I$79=$B63),Lineups!$S$4:$S$79))</f>
        <v>0</v>
      </c>
      <c r="H63" s="472">
        <f ca="1">IF($B63="","",SUMPRODUCT(--(Lineups!$L$4:$L$79=$B63),Lineups!$S$4:$S$79))</f>
        <v>2</v>
      </c>
      <c r="I63" s="472">
        <f ca="1">IF($B63="","",SUMPRODUCT(--(Lineups!$O$4:$O$79=$B63),Lineups!$S$4:$S$79))</f>
        <v>12</v>
      </c>
      <c r="J63" s="94">
        <f t="shared" ca="1" si="38"/>
        <v>14</v>
      </c>
      <c r="L63" s="94">
        <f t="shared" ca="1" si="39"/>
        <v>22</v>
      </c>
      <c r="O63" s="94">
        <f ca="1">IF($B63="","",SUMPRODUCT(--(Lineups!$C$4:$C$79=$B63),Lineups!$S$4:$S$79))</f>
        <v>25</v>
      </c>
      <c r="Q63" s="94">
        <f t="shared" ca="1" si="40"/>
        <v>47</v>
      </c>
      <c r="T63" s="94">
        <f t="shared" si="41"/>
        <v>9</v>
      </c>
      <c r="U63" s="94" t="str">
        <f t="shared" si="42"/>
        <v>7</v>
      </c>
      <c r="V63" s="94" t="str">
        <f t="shared" si="42"/>
        <v>CottonCandy Princess</v>
      </c>
      <c r="W63" s="94">
        <f ca="1">IF($U63="","",SUMPRODUCT(--(Lineups!$AB$4:$AB$79=$U63),--(Lineups!$X$4:$X$79=""),Lineups!$AO$4:$AO$79))</f>
        <v>8</v>
      </c>
      <c r="Y63" s="472">
        <f ca="1">IF($U63="","",SUMPRODUCT(--(Lineups!$AB$4:$AB$79=$U63),--(Lineups!$X$4:$X$79="X"),Lineups!$AO$4:$AO$79))</f>
        <v>0</v>
      </c>
      <c r="Z63" s="472">
        <f ca="1">IF($U63="","",SUMPRODUCT(--(Lineups!$AE$4:$AE$79=$U63),Lineups!$AO$4:$AO$79))</f>
        <v>4</v>
      </c>
      <c r="AA63" s="472">
        <f ca="1">IF($U63="","",SUMPRODUCT(--(Lineups!$AH$4:$AH$79=$U63),Lineups!$AO$4:$AO$79))</f>
        <v>0</v>
      </c>
      <c r="AB63" s="472">
        <f ca="1">IF($U63="","",SUMPRODUCT(--(Lineups!$AK$4:$AK$79=$U63),Lineups!$AO$4:$AO$79))</f>
        <v>1</v>
      </c>
      <c r="AC63" s="94">
        <f t="shared" ca="1" si="43"/>
        <v>5</v>
      </c>
      <c r="AE63" s="94">
        <f t="shared" ca="1" si="44"/>
        <v>13</v>
      </c>
      <c r="AH63" s="94">
        <f ca="1">IF($U63="","",SUMPRODUCT(--(Lineups!$Y$4:$Y$79=$U63),Lineups!$AO$4:$AO$79))</f>
        <v>0</v>
      </c>
      <c r="AJ63" s="94">
        <f t="shared" ca="1" si="45"/>
        <v>13</v>
      </c>
    </row>
    <row r="64" spans="1:37">
      <c r="A64" s="461">
        <f t="shared" si="36"/>
        <v>10</v>
      </c>
      <c r="B64" s="461" t="str">
        <f t="shared" si="37"/>
        <v>428</v>
      </c>
      <c r="C64" s="461" t="str">
        <f t="shared" si="37"/>
        <v>Freakin' Rican</v>
      </c>
      <c r="D64" s="461">
        <f ca="1">IF($B64="","",SUMPRODUCT(--(Lineups!$F$4:$F$79=$B64),--(Lineups!$B$4:$B$79=""),Lineups!$S$4:$S$79))</f>
        <v>20</v>
      </c>
      <c r="F64" s="472">
        <f ca="1">IF($B64="","",SUMPRODUCT(--(Lineups!$F$4:$F$79=$B64),--(Lineups!$B$4:$B$79="X"),Lineups!$S$4:$S$79))</f>
        <v>0</v>
      </c>
      <c r="G64" s="472">
        <f ca="1">IF($B64="","",SUMPRODUCT(--(Lineups!$I$4:$I$79=$B64),Lineups!$S$4:$S$79))</f>
        <v>0</v>
      </c>
      <c r="H64" s="472">
        <f ca="1">IF($B64="","",SUMPRODUCT(--(Lineups!$L$4:$L$79=$B64),Lineups!$S$4:$S$79))</f>
        <v>0</v>
      </c>
      <c r="I64" s="472">
        <f ca="1">IF($B64="","",SUMPRODUCT(--(Lineups!$O$4:$O$79=$B64),Lineups!$S$4:$S$79))</f>
        <v>0</v>
      </c>
      <c r="J64" s="461">
        <f t="shared" ca="1" si="38"/>
        <v>0</v>
      </c>
      <c r="L64" s="461">
        <f t="shared" ca="1" si="39"/>
        <v>20</v>
      </c>
      <c r="O64" s="461">
        <f ca="1">IF($B64="","",SUMPRODUCT(--(Lineups!$C$4:$C$79=$B64),Lineups!$S$4:$S$79))</f>
        <v>8</v>
      </c>
      <c r="Q64" s="461">
        <f t="shared" ca="1" si="40"/>
        <v>28</v>
      </c>
      <c r="T64" s="461">
        <f t="shared" si="41"/>
        <v>10</v>
      </c>
      <c r="U64" s="461" t="str">
        <f t="shared" si="42"/>
        <v>72</v>
      </c>
      <c r="V64" s="461" t="str">
        <f t="shared" si="42"/>
        <v>Demonica Mars</v>
      </c>
      <c r="W64" s="461">
        <f ca="1">IF($U64="","",SUMPRODUCT(--(Lineups!$AB$4:$AB$79=$U64),--(Lineups!$X$4:$X$79=""),Lineups!$AO$4:$AO$79))</f>
        <v>0</v>
      </c>
      <c r="Y64" s="472">
        <f ca="1">IF($U64="","",SUMPRODUCT(--(Lineups!$AB$4:$AB$79=$U64),--(Lineups!$X$4:$X$79="X"),Lineups!$AO$4:$AO$79))</f>
        <v>0</v>
      </c>
      <c r="Z64" s="472">
        <f ca="1">IF($U64="","",SUMPRODUCT(--(Lineups!$AE$4:$AE$79=$U64),Lineups!$AO$4:$AO$79))</f>
        <v>3</v>
      </c>
      <c r="AA64" s="472">
        <f ca="1">IF($U64="","",SUMPRODUCT(--(Lineups!$AH$4:$AH$79=$U64),Lineups!$AO$4:$AO$79))</f>
        <v>1</v>
      </c>
      <c r="AB64" s="472">
        <f ca="1">IF($U64="","",SUMPRODUCT(--(Lineups!$AK$4:$AK$79=$U64),Lineups!$AO$4:$AO$79))</f>
        <v>4</v>
      </c>
      <c r="AC64" s="461">
        <f t="shared" ca="1" si="43"/>
        <v>8</v>
      </c>
      <c r="AE64" s="461">
        <f t="shared" ca="1" si="44"/>
        <v>8</v>
      </c>
      <c r="AH64" s="461">
        <f ca="1">IF($U64="","",SUMPRODUCT(--(Lineups!$Y$4:$Y$79=$U64),Lineups!$AO$4:$AO$79))</f>
        <v>0</v>
      </c>
      <c r="AJ64" s="461">
        <f t="shared" ca="1" si="45"/>
        <v>8</v>
      </c>
    </row>
    <row r="65" spans="1:37">
      <c r="A65" s="94">
        <f t="shared" si="36"/>
        <v>11</v>
      </c>
      <c r="B65" s="94" t="str">
        <f t="shared" si="37"/>
        <v>6</v>
      </c>
      <c r="C65" s="94" t="str">
        <f t="shared" si="37"/>
        <v>Elle McFearsome</v>
      </c>
      <c r="D65" s="94">
        <f ca="1">IF($B65="","",SUMPRODUCT(--(Lineups!$F$4:$F$79=$B65),--(Lineups!$B$4:$B$79=""),Lineups!$S$4:$S$79))</f>
        <v>39</v>
      </c>
      <c r="F65" s="472">
        <f ca="1">IF($B65="","",SUMPRODUCT(--(Lineups!$F$4:$F$79=$B65),--(Lineups!$B$4:$B$79="X"),Lineups!$S$4:$S$79))</f>
        <v>0</v>
      </c>
      <c r="G65" s="472">
        <f ca="1">IF($B65="","",SUMPRODUCT(--(Lineups!$I$4:$I$79=$B65),Lineups!$S$4:$S$79))</f>
        <v>0</v>
      </c>
      <c r="H65" s="472">
        <f ca="1">IF($B65="","",SUMPRODUCT(--(Lineups!$L$4:$L$79=$B65),Lineups!$S$4:$S$79))</f>
        <v>0</v>
      </c>
      <c r="I65" s="472">
        <f ca="1">IF($B65="","",SUMPRODUCT(--(Lineups!$O$4:$O$79=$B65),Lineups!$S$4:$S$79))</f>
        <v>0</v>
      </c>
      <c r="J65" s="94">
        <f t="shared" ca="1" si="38"/>
        <v>0</v>
      </c>
      <c r="L65" s="94">
        <f t="shared" ca="1" si="39"/>
        <v>39</v>
      </c>
      <c r="O65" s="94">
        <f ca="1">IF($B65="","",SUMPRODUCT(--(Lineups!$C$4:$C$79=$B65),Lineups!$S$4:$S$79))</f>
        <v>0</v>
      </c>
      <c r="Q65" s="94">
        <f t="shared" ca="1" si="40"/>
        <v>39</v>
      </c>
      <c r="T65" s="94">
        <f t="shared" si="41"/>
        <v>11</v>
      </c>
      <c r="U65" s="94" t="str">
        <f t="shared" si="42"/>
        <v>9.81</v>
      </c>
      <c r="V65" s="94" t="str">
        <f t="shared" si="42"/>
        <v>Uhura Belle Death</v>
      </c>
      <c r="W65" s="94">
        <f ca="1">IF($U65="","",SUMPRODUCT(--(Lineups!$AB$4:$AB$79=$U65),--(Lineups!$X$4:$X$79=""),Lineups!$AO$4:$AO$79))</f>
        <v>0</v>
      </c>
      <c r="Y65" s="472">
        <f ca="1">IF($U65="","",SUMPRODUCT(--(Lineups!$AB$4:$AB$79=$U65),--(Lineups!$X$4:$X$79="X"),Lineups!$AO$4:$AO$79))</f>
        <v>0</v>
      </c>
      <c r="Z65" s="472">
        <f ca="1">IF($U65="","",SUMPRODUCT(--(Lineups!$AE$4:$AE$79=$U65),Lineups!$AO$4:$AO$79))</f>
        <v>0</v>
      </c>
      <c r="AA65" s="472">
        <f ca="1">IF($U65="","",SUMPRODUCT(--(Lineups!$AH$4:$AH$79=$U65),Lineups!$AO$4:$AO$79))</f>
        <v>0</v>
      </c>
      <c r="AB65" s="472">
        <f ca="1">IF($U65="","",SUMPRODUCT(--(Lineups!$AK$4:$AK$79=$U65),Lineups!$AO$4:$AO$79))</f>
        <v>0</v>
      </c>
      <c r="AC65" s="94">
        <f t="shared" ca="1" si="43"/>
        <v>0</v>
      </c>
      <c r="AE65" s="94">
        <f t="shared" ca="1" si="44"/>
        <v>0</v>
      </c>
      <c r="AH65" s="94">
        <f ca="1">IF($U65="","",SUMPRODUCT(--(Lineups!$Y$4:$Y$79=$U65),Lineups!$AO$4:$AO$79))</f>
        <v>5</v>
      </c>
      <c r="AJ65" s="94">
        <f t="shared" ca="1" si="45"/>
        <v>5</v>
      </c>
    </row>
    <row r="66" spans="1:37">
      <c r="A66" s="461">
        <f t="shared" si="36"/>
        <v>12</v>
      </c>
      <c r="B66" s="461" t="str">
        <f t="shared" si="37"/>
        <v>728</v>
      </c>
      <c r="C66" s="461" t="str">
        <f t="shared" si="37"/>
        <v>Combat Cat</v>
      </c>
      <c r="D66" s="461">
        <f ca="1">IF($B66="","",SUMPRODUCT(--(Lineups!$F$4:$F$79=$B66),--(Lineups!$B$4:$B$79=""),Lineups!$S$4:$S$79))</f>
        <v>0</v>
      </c>
      <c r="F66" s="472">
        <f ca="1">IF($B66="","",SUMPRODUCT(--(Lineups!$F$4:$F$79=$B66),--(Lineups!$B$4:$B$79="X"),Lineups!$S$4:$S$79))</f>
        <v>0</v>
      </c>
      <c r="G66" s="472">
        <f ca="1">IF($B66="","",SUMPRODUCT(--(Lineups!$I$4:$I$79=$B66),Lineups!$S$4:$S$79))</f>
        <v>25</v>
      </c>
      <c r="H66" s="472">
        <f ca="1">IF($B66="","",SUMPRODUCT(--(Lineups!$L$4:$L$79=$B66),Lineups!$S$4:$S$79))</f>
        <v>8</v>
      </c>
      <c r="I66" s="472">
        <f ca="1">IF($B66="","",SUMPRODUCT(--(Lineups!$O$4:$O$79=$B66),Lineups!$S$4:$S$79))</f>
        <v>4</v>
      </c>
      <c r="J66" s="461">
        <f t="shared" ca="1" si="38"/>
        <v>37</v>
      </c>
      <c r="L66" s="461">
        <f t="shared" ca="1" si="39"/>
        <v>37</v>
      </c>
      <c r="O66" s="461">
        <f ca="1">IF($B66="","",SUMPRODUCT(--(Lineups!$C$4:$C$79=$B66),Lineups!$S$4:$S$79))</f>
        <v>10</v>
      </c>
      <c r="Q66" s="461">
        <f t="shared" ca="1" si="40"/>
        <v>47</v>
      </c>
      <c r="T66" s="461">
        <f t="shared" si="41"/>
        <v>12</v>
      </c>
      <c r="U66" s="461" t="str">
        <f t="shared" si="42"/>
        <v>I-75</v>
      </c>
      <c r="V66" s="461" t="str">
        <f t="shared" si="42"/>
        <v>Diesel Doll</v>
      </c>
      <c r="W66" s="461">
        <f ca="1">IF($U66="","",SUMPRODUCT(--(Lineups!$AB$4:$AB$79=$U66),--(Lineups!$X$4:$X$79=""),Lineups!$AO$4:$AO$79))</f>
        <v>7</v>
      </c>
      <c r="Y66" s="472">
        <f ca="1">IF($U66="","",SUMPRODUCT(--(Lineups!$AB$4:$AB$79=$U66),--(Lineups!$X$4:$X$79="X"),Lineups!$AO$4:$AO$79))</f>
        <v>0</v>
      </c>
      <c r="Z66" s="472">
        <f ca="1">IF($U66="","",SUMPRODUCT(--(Lineups!$AE$4:$AE$79=$U66),Lineups!$AO$4:$AO$79))</f>
        <v>0</v>
      </c>
      <c r="AA66" s="472">
        <f ca="1">IF($U66="","",SUMPRODUCT(--(Lineups!$AH$4:$AH$79=$U66),Lineups!$AO$4:$AO$79))</f>
        <v>0</v>
      </c>
      <c r="AB66" s="472">
        <f ca="1">IF($U66="","",SUMPRODUCT(--(Lineups!$AK$4:$AK$79=$U66),Lineups!$AO$4:$AO$79))</f>
        <v>0</v>
      </c>
      <c r="AC66" s="461">
        <f t="shared" ca="1" si="43"/>
        <v>0</v>
      </c>
      <c r="AE66" s="461">
        <f t="shared" ca="1" si="44"/>
        <v>7</v>
      </c>
      <c r="AH66" s="461">
        <f ca="1">IF($U66="","",SUMPRODUCT(--(Lineups!$Y$4:$Y$79=$U66),Lineups!$AO$4:$AO$79))</f>
        <v>0</v>
      </c>
      <c r="AJ66" s="461">
        <f t="shared" ca="1" si="45"/>
        <v>7</v>
      </c>
    </row>
    <row r="67" spans="1:37">
      <c r="A67" s="94">
        <f t="shared" si="36"/>
        <v>13</v>
      </c>
      <c r="B67" s="94" t="str">
        <f t="shared" si="37"/>
        <v>80</v>
      </c>
      <c r="C67" s="94" t="str">
        <f t="shared" si="37"/>
        <v>Mean Streak</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0</v>
      </c>
      <c r="I67" s="472">
        <f ca="1">IF($B67="","",SUMPRODUCT(--(Lineups!$O$4:$O$79=$B67),Lineups!$S$4:$S$79))</f>
        <v>0</v>
      </c>
      <c r="J67" s="94">
        <f t="shared" ca="1" si="38"/>
        <v>0</v>
      </c>
      <c r="L67" s="94">
        <f t="shared" ca="1" si="39"/>
        <v>0</v>
      </c>
      <c r="O67" s="94">
        <f ca="1">IF($B67="","",SUMPRODUCT(--(Lineups!$C$4:$C$79=$B67),Lineups!$S$4:$S$79))</f>
        <v>12</v>
      </c>
      <c r="Q67" s="94">
        <f t="shared" ca="1" si="40"/>
        <v>12</v>
      </c>
      <c r="T67" s="94">
        <f t="shared" si="41"/>
        <v>13</v>
      </c>
      <c r="U67" s="94" t="str">
        <f t="shared" si="42"/>
        <v>N2O</v>
      </c>
      <c r="V67" s="94" t="str">
        <f t="shared" si="42"/>
        <v>Cool Whip</v>
      </c>
      <c r="W67" s="94">
        <f ca="1">IF($U67="","",SUMPRODUCT(--(Lineups!$AB$4:$AB$79=$U67),--(Lineups!$X$4:$X$79=""),Lineups!$AO$4:$AO$79))</f>
        <v>0</v>
      </c>
      <c r="Y67" s="472">
        <f ca="1">IF($U67="","",SUMPRODUCT(--(Lineups!$AB$4:$AB$79=$U67),--(Lineups!$X$4:$X$79="X"),Lineups!$AO$4:$AO$79))</f>
        <v>0</v>
      </c>
      <c r="Z67" s="472">
        <f ca="1">IF($U67="","",SUMPRODUCT(--(Lineups!$AE$4:$AE$79=$U67),Lineups!$AO$4:$AO$79))</f>
        <v>20</v>
      </c>
      <c r="AA67" s="472">
        <f ca="1">IF($U67="","",SUMPRODUCT(--(Lineups!$AH$4:$AH$79=$U67),Lineups!$AO$4:$AO$79))</f>
        <v>0</v>
      </c>
      <c r="AB67" s="472">
        <f ca="1">IF($U67="","",SUMPRODUCT(--(Lineups!$AK$4:$AK$79=$U67),Lineups!$AO$4:$AO$79))</f>
        <v>4</v>
      </c>
      <c r="AC67" s="94">
        <f t="shared" ca="1" si="43"/>
        <v>24</v>
      </c>
      <c r="AE67" s="94">
        <f t="shared" ca="1" si="44"/>
        <v>24</v>
      </c>
      <c r="AH67" s="94">
        <f ca="1">IF($U67="","",SUMPRODUCT(--(Lineups!$Y$4:$Y$79=$U67),Lineups!$AO$4:$AO$79))</f>
        <v>0</v>
      </c>
      <c r="AJ67" s="94">
        <f t="shared" ca="1" si="45"/>
        <v>24</v>
      </c>
    </row>
    <row r="68" spans="1:37">
      <c r="A68" s="461">
        <f t="shared" si="36"/>
        <v>14</v>
      </c>
      <c r="B68" s="461" t="str">
        <f t="shared" si="37"/>
        <v>9.99</v>
      </c>
      <c r="C68" s="461" t="str">
        <f t="shared" si="37"/>
        <v>U.S.S. DentHerPrize</v>
      </c>
      <c r="D68" s="461">
        <f ca="1">IF($B68="","",SUMPRODUCT(--(Lineups!$F$4:$F$79=$B68),--(Lineups!$B$4:$B$79=""),Lineups!$S$4:$S$79))</f>
        <v>0</v>
      </c>
      <c r="F68" s="472">
        <f ca="1">IF($B68="","",SUMPRODUCT(--(Lineups!$F$4:$F$79=$B68),--(Lineups!$B$4:$B$79="X"),Lineups!$S$4:$S$79))</f>
        <v>0</v>
      </c>
      <c r="G68" s="472">
        <f ca="1">IF($B68="","",SUMPRODUCT(--(Lineups!$I$4:$I$79=$B68),Lineups!$S$4:$S$79))</f>
        <v>0</v>
      </c>
      <c r="H68" s="472">
        <f ca="1">IF($B68="","",SUMPRODUCT(--(Lineups!$L$4:$L$79=$B68),Lineups!$S$4:$S$79))</f>
        <v>0</v>
      </c>
      <c r="I68" s="472">
        <f ca="1">IF($B68="","",SUMPRODUCT(--(Lineups!$O$4:$O$79=$B68),Lineups!$S$4:$S$79))</f>
        <v>0</v>
      </c>
      <c r="J68" s="461">
        <f t="shared" ca="1" si="38"/>
        <v>0</v>
      </c>
      <c r="L68" s="461">
        <f t="shared" ca="1" si="39"/>
        <v>0</v>
      </c>
      <c r="O68" s="461">
        <f ca="1">IF($B68="","",SUMPRODUCT(--(Lineups!$C$4:$C$79=$B68),Lineups!$S$4:$S$79))</f>
        <v>0</v>
      </c>
      <c r="Q68" s="461">
        <f t="shared" ca="1" si="40"/>
        <v>0</v>
      </c>
      <c r="T68" s="461">
        <f t="shared" si="41"/>
        <v>14</v>
      </c>
      <c r="U68" s="461" t="str">
        <f t="shared" si="42"/>
        <v>W00T</v>
      </c>
      <c r="V68" s="461" t="str">
        <f t="shared" si="42"/>
        <v>Genniferal</v>
      </c>
      <c r="W68" s="461">
        <f ca="1">IF($U68="","",SUMPRODUCT(--(Lineups!$AB$4:$AB$79=$U68),--(Lineups!$X$4:$X$79=""),Lineups!$AO$4:$AO$79))</f>
        <v>16</v>
      </c>
      <c r="Y68" s="472">
        <f ca="1">IF($U68="","",SUMPRODUCT(--(Lineups!$AB$4:$AB$79=$U68),--(Lineups!$X$4:$X$79="X"),Lineups!$AO$4:$AO$79))</f>
        <v>0</v>
      </c>
      <c r="Z68" s="472">
        <f ca="1">IF($U68="","",SUMPRODUCT(--(Lineups!$AE$4:$AE$79=$U68),Lineups!$AO$4:$AO$79))</f>
        <v>0</v>
      </c>
      <c r="AA68" s="472">
        <f ca="1">IF($U68="","",SUMPRODUCT(--(Lineups!$AH$4:$AH$79=$U68),Lineups!$AO$4:$AO$79))</f>
        <v>4</v>
      </c>
      <c r="AB68" s="472">
        <f ca="1">IF($U68="","",SUMPRODUCT(--(Lineups!$AK$4:$AK$79=$U68),Lineups!$AO$4:$AO$79))</f>
        <v>0</v>
      </c>
      <c r="AC68" s="461">
        <f t="shared" ca="1" si="43"/>
        <v>4</v>
      </c>
      <c r="AE68" s="461">
        <f t="shared" ca="1" si="44"/>
        <v>20</v>
      </c>
      <c r="AH68" s="461">
        <f ca="1">IF($U68="","",SUMPRODUCT(--(Lineups!$Y$4:$Y$79=$U68),Lineups!$AO$4:$AO$79))</f>
        <v>0</v>
      </c>
      <c r="AJ68" s="461">
        <f t="shared" ca="1" si="45"/>
        <v>20</v>
      </c>
    </row>
    <row r="69" spans="1:37">
      <c r="A69" s="94">
        <f t="shared" si="36"/>
        <v>15</v>
      </c>
      <c r="B69" s="94" t="str">
        <f t="shared" si="37"/>
        <v>F14</v>
      </c>
      <c r="C69" s="94" t="str">
        <f t="shared" si="37"/>
        <v>Apertorture</v>
      </c>
      <c r="D69" s="94">
        <f ca="1">IF($B69="","",SUMPRODUCT(--(Lineups!$F$4:$F$79=$B69),--(Lineups!$B$4:$B$79=""),Lineups!$S$4:$S$79))</f>
        <v>0</v>
      </c>
      <c r="F69" s="472">
        <f ca="1">IF($B69="","",SUMPRODUCT(--(Lineups!$F$4:$F$79=$B69),--(Lineups!$B$4:$B$79="X"),Lineups!$S$4:$S$79))</f>
        <v>0</v>
      </c>
      <c r="G69" s="472">
        <f ca="1">IF($B69="","",SUMPRODUCT(--(Lineups!$I$4:$I$79=$B69),Lineups!$S$4:$S$79))</f>
        <v>10</v>
      </c>
      <c r="H69" s="472">
        <f ca="1">IF($B69="","",SUMPRODUCT(--(Lineups!$L$4:$L$79=$B69),Lineups!$S$4:$S$79))</f>
        <v>10</v>
      </c>
      <c r="I69" s="472">
        <f ca="1">IF($B69="","",SUMPRODUCT(--(Lineups!$O$4:$O$79=$B69),Lineups!$S$4:$S$79))</f>
        <v>21</v>
      </c>
      <c r="J69" s="94">
        <f t="shared" ca="1" si="38"/>
        <v>41</v>
      </c>
      <c r="L69" s="94">
        <f t="shared" ca="1" si="39"/>
        <v>41</v>
      </c>
      <c r="O69" s="94">
        <f ca="1">IF($B69="","",SUMPRODUCT(--(Lineups!$C$4:$C$79=$B69),Lineups!$S$4:$S$79))</f>
        <v>0</v>
      </c>
      <c r="Q69" s="94">
        <f t="shared" ca="1" si="40"/>
        <v>41</v>
      </c>
      <c r="T69" s="94">
        <f t="shared" si="41"/>
        <v>15</v>
      </c>
      <c r="U69" s="94" t="str">
        <f t="shared" si="42"/>
        <v>Z28</v>
      </c>
      <c r="V69" s="94" t="str">
        <f t="shared" si="42"/>
        <v>V8 Nightmare</v>
      </c>
      <c r="W69" s="94">
        <f ca="1">IF($U69="","",SUMPRODUCT(--(Lineups!$AB$4:$AB$79=$U69),--(Lineups!$X$4:$X$79=""),Lineups!$AO$4:$AO$79))</f>
        <v>0</v>
      </c>
      <c r="Y69" s="472">
        <f ca="1">IF($U69="","",SUMPRODUCT(--(Lineups!$AB$4:$AB$79=$U69),--(Lineups!$X$4:$X$79="X"),Lineups!$AO$4:$AO$79))</f>
        <v>0</v>
      </c>
      <c r="Z69" s="472">
        <f ca="1">IF($U69="","",SUMPRODUCT(--(Lineups!$AE$4:$AE$79=$U69),Lineups!$AO$4:$AO$79))</f>
        <v>0</v>
      </c>
      <c r="AA69" s="472">
        <f ca="1">IF($U69="","",SUMPRODUCT(--(Lineups!$AH$4:$AH$79=$U69),Lineups!$AO$4:$AO$79))</f>
        <v>4</v>
      </c>
      <c r="AB69" s="472">
        <f ca="1">IF($U69="","",SUMPRODUCT(--(Lineups!$AK$4:$AK$79=$U69),Lineups!$AO$4:$AO$79))</f>
        <v>0</v>
      </c>
      <c r="AC69" s="94">
        <f t="shared" ca="1" si="43"/>
        <v>4</v>
      </c>
      <c r="AE69" s="94">
        <f t="shared" ca="1" si="44"/>
        <v>4</v>
      </c>
      <c r="AH69" s="94">
        <f ca="1">IF($U69="","",SUMPRODUCT(--(Lineups!$Y$4:$Y$79=$U69),Lineups!$AO$4:$AO$79))</f>
        <v>0</v>
      </c>
      <c r="AJ69" s="94">
        <f t="shared" ca="1" si="45"/>
        <v>4</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43" t="s">
        <v>352</v>
      </c>
      <c r="B76" s="1343"/>
      <c r="C76" s="1343"/>
      <c r="D76" s="309"/>
      <c r="E76" s="309"/>
      <c r="F76" s="309"/>
      <c r="G76" s="309"/>
      <c r="H76" s="309"/>
      <c r="I76" s="309"/>
      <c r="J76" s="309"/>
      <c r="K76" s="309"/>
      <c r="L76" s="309"/>
      <c r="M76" s="309"/>
      <c r="N76" s="309"/>
      <c r="O76" s="309"/>
      <c r="P76" s="309"/>
      <c r="Q76" s="309"/>
      <c r="R76" s="309"/>
      <c r="T76" s="1343" t="s">
        <v>352</v>
      </c>
      <c r="U76" s="1343"/>
      <c r="V76" s="1343"/>
      <c r="W76" s="309"/>
      <c r="X76" s="309"/>
      <c r="Y76" s="309"/>
      <c r="Z76" s="309"/>
      <c r="AA76" s="309"/>
      <c r="AB76" s="309"/>
      <c r="AC76" s="309"/>
      <c r="AD76" s="309"/>
      <c r="AE76" s="309"/>
      <c r="AF76" s="309"/>
      <c r="AG76" s="309"/>
      <c r="AH76" s="309"/>
      <c r="AI76" s="309"/>
      <c r="AJ76" s="309"/>
      <c r="AK76" s="309"/>
    </row>
    <row r="77" spans="1:37">
      <c r="A77" s="466">
        <v>0</v>
      </c>
      <c r="B77" s="466" t="s">
        <v>202</v>
      </c>
      <c r="C77" s="466" t="s">
        <v>203</v>
      </c>
      <c r="D77" s="466" t="s">
        <v>187</v>
      </c>
      <c r="E77" s="302"/>
      <c r="F77" s="471" t="s">
        <v>189</v>
      </c>
      <c r="G77" s="471" t="s">
        <v>189</v>
      </c>
      <c r="H77" s="471" t="s">
        <v>189</v>
      </c>
      <c r="I77" s="471" t="s">
        <v>189</v>
      </c>
      <c r="J77" s="466" t="s">
        <v>212</v>
      </c>
      <c r="K77" s="302"/>
      <c r="L77" s="466" t="s">
        <v>214</v>
      </c>
      <c r="M77" s="302"/>
      <c r="N77" s="468" t="s">
        <v>29</v>
      </c>
      <c r="O77" s="466" t="s">
        <v>190</v>
      </c>
      <c r="P77" s="302"/>
      <c r="Q77" s="466" t="s">
        <v>23</v>
      </c>
      <c r="R77" s="302"/>
      <c r="S77" s="302"/>
      <c r="T77" s="466">
        <v>0</v>
      </c>
      <c r="U77" s="466" t="s">
        <v>202</v>
      </c>
      <c r="V77" s="466" t="s">
        <v>203</v>
      </c>
      <c r="W77" s="466" t="s">
        <v>187</v>
      </c>
      <c r="X77" s="302"/>
      <c r="Y77" s="471" t="s">
        <v>189</v>
      </c>
      <c r="Z77" s="471" t="s">
        <v>189</v>
      </c>
      <c r="AA77" s="471" t="s">
        <v>189</v>
      </c>
      <c r="AB77" s="471" t="s">
        <v>189</v>
      </c>
      <c r="AC77" s="466" t="s">
        <v>212</v>
      </c>
      <c r="AD77" s="302"/>
      <c r="AE77" s="466" t="s">
        <v>214</v>
      </c>
      <c r="AF77" s="302"/>
      <c r="AG77" s="468" t="s">
        <v>29</v>
      </c>
      <c r="AH77" s="466" t="s">
        <v>190</v>
      </c>
      <c r="AI77" s="302"/>
      <c r="AJ77" s="466" t="s">
        <v>23</v>
      </c>
      <c r="AK77" s="302"/>
    </row>
    <row r="78" spans="1:37">
      <c r="A78" s="94">
        <f t="shared" ref="A78:A97" si="46">A77+1</f>
        <v>1</v>
      </c>
      <c r="B78" s="94" t="str">
        <f t="shared" ref="B78:C97" si="47">B9</f>
        <v>138</v>
      </c>
      <c r="C78" s="94" t="str">
        <f t="shared" si="47"/>
        <v>Mag Pie</v>
      </c>
      <c r="D78" s="94">
        <f ca="1">IF($B78="","",SUMPRODUCT(--(Lineups!$F$4:$F$79=$B78),--(Lineups!$B$4:$B$79=""),Lineups!$AO$4:$AO$79))</f>
        <v>0</v>
      </c>
      <c r="F78" s="472">
        <f ca="1">IF($B78="","",SUMPRODUCT(--(Lineups!$F$4:$F$79=$B78),--(Lineups!$B$4:$B$79="X"),Lineups!$AO$4:$AO$79))</f>
        <v>0</v>
      </c>
      <c r="G78" s="472">
        <f ca="1">IF($B78="","",SUMPRODUCT(--(Lineups!$I$4:$I$79=$B78),Lineups!$AO$4:$AO$79))</f>
        <v>5</v>
      </c>
      <c r="H78" s="472">
        <f ca="1">IF($B78="","",SUMPRODUCT(--(Lineups!$L$4:$L$79=$B78),Lineups!$AO$4:$AO$79))</f>
        <v>0</v>
      </c>
      <c r="I78" s="472">
        <f ca="1">IF($B78="","",SUMPRODUCT(--(Lineups!$O$4:$O$79=$B78),Lineups!$AO$4:$AO$79))</f>
        <v>3</v>
      </c>
      <c r="J78" s="94">
        <f t="shared" ref="J78:J97" ca="1" si="48">IF(B78="","",SUM(F78:I78))</f>
        <v>8</v>
      </c>
      <c r="L78" s="94">
        <f t="shared" ref="L78:L97" ca="1" si="49">IF(B78="","",SUM(D78,J78))</f>
        <v>8</v>
      </c>
      <c r="O78" s="94">
        <f ca="1">IF($B78="","",SUMPRODUCT(--(Lineups!$C$4:$C$79=$B78),Lineups!$AO$4:$AO$79))</f>
        <v>0</v>
      </c>
      <c r="Q78" s="94">
        <f t="shared" ref="Q78:Q97" ca="1" si="50">IF(B78="","",SUM(L78,O78))</f>
        <v>8</v>
      </c>
      <c r="T78" s="94">
        <f t="shared" ref="T78:T97" si="51">T77+1</f>
        <v>1</v>
      </c>
      <c r="U78" s="94" t="str">
        <f t="shared" ref="U78:V97" si="52">U9</f>
        <v>182</v>
      </c>
      <c r="V78" s="94" t="str">
        <f t="shared" si="52"/>
        <v>Travis Blocker</v>
      </c>
      <c r="W78" s="94">
        <f ca="1">IF($U78="","",SUMPRODUCT(--(Lineups!$AB$4:$AB$79=$U78),--(Lineups!$X$4:$X$79=""),Lineups!$S$4:$S$79))</f>
        <v>0</v>
      </c>
      <c r="Y78" s="472">
        <f ca="1">IF($U78="","",SUMPRODUCT(--(Lineups!$AB$4:$AB$79=$U78),--(Lineups!$X$4:$X$79="X"),Lineups!$S$4:$S$79))</f>
        <v>0</v>
      </c>
      <c r="Z78" s="472">
        <f ca="1">IF($U78="","",SUMPRODUCT(--(Lineups!$AE$4:$AE$79=$U78),Lineups!$S$4:$S$79))</f>
        <v>9</v>
      </c>
      <c r="AA78" s="472">
        <f ca="1">IF($U78="","",SUMPRODUCT(--(Lineups!$AH$4:$AH$79=$U78),Lineups!$S$4:$S$79))</f>
        <v>0</v>
      </c>
      <c r="AB78" s="472">
        <f ca="1">IF($U78="","",SUMPRODUCT(--(Lineups!$AK$4:$AK$79=$U78),Lineups!$S$4:$S$79))</f>
        <v>18</v>
      </c>
      <c r="AC78" s="94">
        <f t="shared" ref="AC78:AC97" ca="1" si="53">IF(U78="","",SUM(Y78:AB78))</f>
        <v>27</v>
      </c>
      <c r="AE78" s="94">
        <f t="shared" ref="AE78:AE97" ca="1" si="54">IF(U78="","",SUM(W78,AC78))</f>
        <v>27</v>
      </c>
      <c r="AH78" s="94">
        <f ca="1">IF($U78="","",SUMPRODUCT(--(Lineups!$Y$4:$Y$79=$U78),Lineups!$S$4:$S$79))</f>
        <v>0</v>
      </c>
      <c r="AJ78" s="94">
        <f t="shared" ref="AJ78:AJ97" ca="1" si="55">IF(U78="","",SUM(AE78,AH78))</f>
        <v>27</v>
      </c>
    </row>
    <row r="79" spans="1:37">
      <c r="A79" s="461">
        <f t="shared" si="46"/>
        <v>2</v>
      </c>
      <c r="B79" s="461" t="str">
        <f t="shared" si="47"/>
        <v>181</v>
      </c>
      <c r="C79" s="461" t="str">
        <f t="shared" si="47"/>
        <v>Vega Vendetta</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1</v>
      </c>
      <c r="I79" s="472">
        <f ca="1">IF($B79="","",SUMPRODUCT(--(Lineups!$O$4:$O$79=$B79),Lineups!$AO$4:$AO$79))</f>
        <v>0</v>
      </c>
      <c r="J79" s="461">
        <f t="shared" ca="1" si="48"/>
        <v>1</v>
      </c>
      <c r="L79" s="461">
        <f t="shared" ca="1" si="49"/>
        <v>1</v>
      </c>
      <c r="O79" s="461">
        <f ca="1">IF($B79="","",SUMPRODUCT(--(Lineups!$C$4:$C$79=$B79),Lineups!$AO$4:$AO$79))</f>
        <v>0</v>
      </c>
      <c r="Q79" s="461">
        <f t="shared" ca="1" si="50"/>
        <v>1</v>
      </c>
      <c r="T79" s="461">
        <f t="shared" si="51"/>
        <v>2</v>
      </c>
      <c r="U79" s="461" t="str">
        <f t="shared" si="52"/>
        <v>2¢</v>
      </c>
      <c r="V79" s="461" t="str">
        <f t="shared" si="52"/>
        <v>Vera Toss</v>
      </c>
      <c r="W79" s="461">
        <f ca="1">IF($U79="","",SUMPRODUCT(--(Lineups!$AB$4:$AB$79=$U79),--(Lineups!$X$4:$X$79=""),Lineups!$S$4:$S$79))</f>
        <v>0</v>
      </c>
      <c r="Y79" s="472">
        <f ca="1">IF($U79="","",SUMPRODUCT(--(Lineups!$AB$4:$AB$79=$U79),--(Lineups!$X$4:$X$79="X"),Lineups!$S$4:$S$79))</f>
        <v>0</v>
      </c>
      <c r="Z79" s="472">
        <f ca="1">IF($U79="","",SUMPRODUCT(--(Lineups!$AE$4:$AE$79=$U79),Lineups!$S$4:$S$79))</f>
        <v>8</v>
      </c>
      <c r="AA79" s="472">
        <f ca="1">IF($U79="","",SUMPRODUCT(--(Lineups!$AH$4:$AH$79=$U79),Lineups!$S$4:$S$79))</f>
        <v>0</v>
      </c>
      <c r="AB79" s="472">
        <f ca="1">IF($U79="","",SUMPRODUCT(--(Lineups!$AK$4:$AK$79=$U79),Lineups!$S$4:$S$79))</f>
        <v>4</v>
      </c>
      <c r="AC79" s="461">
        <f t="shared" ca="1" si="53"/>
        <v>12</v>
      </c>
      <c r="AE79" s="461">
        <f t="shared" ca="1" si="54"/>
        <v>12</v>
      </c>
      <c r="AH79" s="461">
        <f ca="1">IF($U79="","",SUMPRODUCT(--(Lineups!$Y$4:$Y$79=$U79),Lineups!$S$4:$S$79))</f>
        <v>0</v>
      </c>
      <c r="AJ79" s="461">
        <f t="shared" ca="1" si="55"/>
        <v>12</v>
      </c>
    </row>
    <row r="80" spans="1:37">
      <c r="A80" s="94">
        <f t="shared" si="46"/>
        <v>3</v>
      </c>
      <c r="B80" s="94" t="str">
        <f t="shared" si="47"/>
        <v>1821</v>
      </c>
      <c r="C80" s="94" t="str">
        <f t="shared" si="47"/>
        <v>Mexi-Go</v>
      </c>
      <c r="D80" s="94">
        <f ca="1">IF($B80="","",SUMPRODUCT(--(Lineups!$F$4:$F$79=$B80),--(Lineups!$B$4:$B$79=""),Lineups!$AO$4:$AO$79))</f>
        <v>0</v>
      </c>
      <c r="F80" s="472">
        <f ca="1">IF($B80="","",SUMPRODUCT(--(Lineups!$F$4:$F$79=$B80),--(Lineups!$B$4:$B$79="X"),Lineups!$AO$4:$AO$79))</f>
        <v>0</v>
      </c>
      <c r="G80" s="472">
        <f ca="1">IF($B80="","",SUMPRODUCT(--(Lineups!$I$4:$I$79=$B80),Lineups!$AO$4:$AO$79))</f>
        <v>10</v>
      </c>
      <c r="H80" s="472">
        <f ca="1">IF($B80="","",SUMPRODUCT(--(Lineups!$L$4:$L$79=$B80),Lineups!$AO$4:$AO$79))</f>
        <v>5</v>
      </c>
      <c r="I80" s="472">
        <f ca="1">IF($B80="","",SUMPRODUCT(--(Lineups!$O$4:$O$79=$B80),Lineups!$AO$4:$AO$79))</f>
        <v>0</v>
      </c>
      <c r="J80" s="94">
        <f t="shared" ca="1" si="48"/>
        <v>15</v>
      </c>
      <c r="L80" s="94">
        <f t="shared" ca="1" si="49"/>
        <v>15</v>
      </c>
      <c r="O80" s="94">
        <f ca="1">IF($B80="","",SUMPRODUCT(--(Lineups!$C$4:$C$79=$B80),Lineups!$AO$4:$AO$79))</f>
        <v>0</v>
      </c>
      <c r="Q80" s="94">
        <f t="shared" ca="1" si="50"/>
        <v>15</v>
      </c>
      <c r="T80" s="94">
        <f t="shared" si="51"/>
        <v>3</v>
      </c>
      <c r="U80" s="94" t="str">
        <f t="shared" si="52"/>
        <v>24/7</v>
      </c>
      <c r="V80" s="94" t="str">
        <f t="shared" si="52"/>
        <v>boo d. livers</v>
      </c>
      <c r="W80" s="94">
        <f ca="1">IF($U80="","",SUMPRODUCT(--(Lineups!$AB$4:$AB$79=$U80),--(Lineups!$X$4:$X$79=""),Lineups!$S$4:$S$79))</f>
        <v>0</v>
      </c>
      <c r="Y80" s="472">
        <f ca="1">IF($U80="","",SUMPRODUCT(--(Lineups!$AB$4:$AB$79=$U80),--(Lineups!$X$4:$X$79="X"),Lineups!$S$4:$S$79))</f>
        <v>0</v>
      </c>
      <c r="Z80" s="472">
        <f ca="1">IF($U80="","",SUMPRODUCT(--(Lineups!$AE$4:$AE$79=$U80),Lineups!$S$4:$S$79))</f>
        <v>12</v>
      </c>
      <c r="AA80" s="472">
        <f ca="1">IF($U80="","",SUMPRODUCT(--(Lineups!$AH$4:$AH$79=$U80),Lineups!$S$4:$S$79))</f>
        <v>4</v>
      </c>
      <c r="AB80" s="472">
        <f ca="1">IF($U80="","",SUMPRODUCT(--(Lineups!$AK$4:$AK$79=$U80),Lineups!$S$4:$S$79))</f>
        <v>28</v>
      </c>
      <c r="AC80" s="94">
        <f t="shared" ca="1" si="53"/>
        <v>44</v>
      </c>
      <c r="AE80" s="94">
        <f t="shared" ca="1" si="54"/>
        <v>44</v>
      </c>
      <c r="AH80" s="94">
        <f ca="1">IF($U80="","",SUMPRODUCT(--(Lineups!$Y$4:$Y$79=$U80),Lineups!$S$4:$S$79))</f>
        <v>10</v>
      </c>
      <c r="AJ80" s="94">
        <f t="shared" ca="1" si="55"/>
        <v>54</v>
      </c>
    </row>
    <row r="81" spans="1:36">
      <c r="A81" s="461">
        <f t="shared" si="46"/>
        <v>4</v>
      </c>
      <c r="B81" s="461" t="str">
        <f t="shared" si="47"/>
        <v>187</v>
      </c>
      <c r="C81" s="461" t="str">
        <f t="shared" si="47"/>
        <v>VeroniKILL</v>
      </c>
      <c r="D81" s="461">
        <f ca="1">IF($B81="","",SUMPRODUCT(--(Lineups!$F$4:$F$79=$B81),--(Lineups!$B$4:$B$79=""),Lineups!$AO$4:$AO$79))</f>
        <v>0</v>
      </c>
      <c r="F81" s="472">
        <f ca="1">IF($B81="","",SUMPRODUCT(--(Lineups!$F$4:$F$79=$B81),--(Lineups!$B$4:$B$79="X"),Lineups!$AO$4:$AO$79))</f>
        <v>0</v>
      </c>
      <c r="G81" s="472">
        <f ca="1">IF($B81="","",SUMPRODUCT(--(Lineups!$I$4:$I$79=$B81),Lineups!$AO$4:$AO$79))</f>
        <v>3</v>
      </c>
      <c r="H81" s="472">
        <f ca="1">IF($B81="","",SUMPRODUCT(--(Lineups!$L$4:$L$79=$B81),Lineups!$AO$4:$AO$79))</f>
        <v>10</v>
      </c>
      <c r="I81" s="472">
        <f ca="1">IF($B81="","",SUMPRODUCT(--(Lineups!$O$4:$O$79=$B81),Lineups!$AO$4:$AO$79))</f>
        <v>8</v>
      </c>
      <c r="J81" s="461">
        <f t="shared" ca="1" si="48"/>
        <v>21</v>
      </c>
      <c r="L81" s="461">
        <f t="shared" ca="1" si="49"/>
        <v>21</v>
      </c>
      <c r="O81" s="461">
        <f ca="1">IF($B81="","",SUMPRODUCT(--(Lineups!$C$4:$C$79=$B81),Lineups!$AO$4:$AO$79))</f>
        <v>0</v>
      </c>
      <c r="Q81" s="461">
        <f t="shared" ca="1" si="50"/>
        <v>21</v>
      </c>
      <c r="T81" s="461">
        <f t="shared" si="51"/>
        <v>4</v>
      </c>
      <c r="U81" s="461" t="str">
        <f t="shared" si="52"/>
        <v>27</v>
      </c>
      <c r="V81" s="461" t="str">
        <f t="shared" si="52"/>
        <v>A.O. Lesgo</v>
      </c>
      <c r="W81" s="461">
        <f ca="1">IF($U81="","",SUMPRODUCT(--(Lineups!$AB$4:$AB$79=$U81),--(Lineups!$X$4:$X$79=""),Lineups!$S$4:$S$79))</f>
        <v>0</v>
      </c>
      <c r="Y81" s="472">
        <f ca="1">IF($U81="","",SUMPRODUCT(--(Lineups!$AB$4:$AB$79=$U81),--(Lineups!$X$4:$X$79="X"),Lineups!$S$4:$S$79))</f>
        <v>0</v>
      </c>
      <c r="Z81" s="472">
        <f ca="1">IF($U81="","",SUMPRODUCT(--(Lineups!$AE$4:$AE$79=$U81),Lineups!$S$4:$S$79))</f>
        <v>0</v>
      </c>
      <c r="AA81" s="472">
        <f ca="1">IF($U81="","",SUMPRODUCT(--(Lineups!$AH$4:$AH$79=$U81),Lineups!$S$4:$S$79))</f>
        <v>28</v>
      </c>
      <c r="AB81" s="472">
        <f ca="1">IF($U81="","",SUMPRODUCT(--(Lineups!$AK$4:$AK$79=$U81),Lineups!$S$4:$S$79))</f>
        <v>0</v>
      </c>
      <c r="AC81" s="461">
        <f t="shared" ca="1" si="53"/>
        <v>28</v>
      </c>
      <c r="AE81" s="461">
        <f t="shared" ca="1" si="54"/>
        <v>28</v>
      </c>
      <c r="AH81" s="461">
        <f ca="1">IF($U81="","",SUMPRODUCT(--(Lineups!$Y$4:$Y$79=$U81),Lineups!$S$4:$S$79))</f>
        <v>0</v>
      </c>
      <c r="AJ81" s="461">
        <f t="shared" ca="1" si="55"/>
        <v>28</v>
      </c>
    </row>
    <row r="82" spans="1:36">
      <c r="A82" s="94">
        <f t="shared" si="46"/>
        <v>5</v>
      </c>
      <c r="B82" s="94" t="str">
        <f t="shared" si="47"/>
        <v>1879</v>
      </c>
      <c r="C82" s="94" t="str">
        <f t="shared" si="47"/>
        <v>Belle Isle Hurtya</v>
      </c>
      <c r="D82" s="94">
        <f ca="1">IF($B82="","",SUMPRODUCT(--(Lineups!$F$4:$F$79=$B82),--(Lineups!$B$4:$B$79=""),Lineups!$AO$4:$AO$79))</f>
        <v>0</v>
      </c>
      <c r="F82" s="472">
        <f ca="1">IF($B82="","",SUMPRODUCT(--(Lineups!$F$4:$F$79=$B82),--(Lineups!$B$4:$B$79="X"),Lineups!$AO$4:$AO$79))</f>
        <v>0</v>
      </c>
      <c r="G82" s="472">
        <f ca="1">IF($B82="","",SUMPRODUCT(--(Lineups!$I$4:$I$79=$B82),Lineups!$AO$4:$AO$79))</f>
        <v>4</v>
      </c>
      <c r="H82" s="472">
        <f ca="1">IF($B82="","",SUMPRODUCT(--(Lineups!$L$4:$L$79=$B82),Lineups!$AO$4:$AO$79))</f>
        <v>0</v>
      </c>
      <c r="I82" s="472">
        <f ca="1">IF($B82="","",SUMPRODUCT(--(Lineups!$O$4:$O$79=$B82),Lineups!$AO$4:$AO$79))</f>
        <v>0</v>
      </c>
      <c r="J82" s="94">
        <f t="shared" ca="1" si="48"/>
        <v>4</v>
      </c>
      <c r="L82" s="94">
        <f t="shared" ca="1" si="49"/>
        <v>4</v>
      </c>
      <c r="O82" s="94">
        <f ca="1">IF($B82="","",SUMPRODUCT(--(Lineups!$C$4:$C$79=$B82),Lineups!$AO$4:$AO$79))</f>
        <v>0</v>
      </c>
      <c r="Q82" s="94">
        <f t="shared" ca="1" si="50"/>
        <v>4</v>
      </c>
      <c r="T82" s="94">
        <f t="shared" si="51"/>
        <v>5</v>
      </c>
      <c r="U82" s="94" t="str">
        <f t="shared" si="52"/>
        <v>38DD</v>
      </c>
      <c r="V82" s="94" t="str">
        <f t="shared" si="52"/>
        <v>Tig O' Hitties</v>
      </c>
      <c r="W82" s="94">
        <f ca="1">IF($U82="","",SUMPRODUCT(--(Lineups!$AB$4:$AB$79=$U82),--(Lineups!$X$4:$X$79=""),Lineups!$S$4:$S$79))</f>
        <v>0</v>
      </c>
      <c r="Y82" s="472">
        <f ca="1">IF($U82="","",SUMPRODUCT(--(Lineups!$AB$4:$AB$79=$U82),--(Lineups!$X$4:$X$79="X"),Lineups!$S$4:$S$79))</f>
        <v>0</v>
      </c>
      <c r="Z82" s="472">
        <f ca="1">IF($U82="","",SUMPRODUCT(--(Lineups!$AE$4:$AE$79=$U82),Lineups!$S$4:$S$79))</f>
        <v>4</v>
      </c>
      <c r="AA82" s="472">
        <f ca="1">IF($U82="","",SUMPRODUCT(--(Lineups!$AH$4:$AH$79=$U82),Lineups!$S$4:$S$79))</f>
        <v>18</v>
      </c>
      <c r="AB82" s="472">
        <f ca="1">IF($U82="","",SUMPRODUCT(--(Lineups!$AK$4:$AK$79=$U82),Lineups!$S$4:$S$79))</f>
        <v>2</v>
      </c>
      <c r="AC82" s="94">
        <f t="shared" ca="1" si="53"/>
        <v>24</v>
      </c>
      <c r="AE82" s="94">
        <f t="shared" ca="1" si="54"/>
        <v>24</v>
      </c>
      <c r="AH82" s="94">
        <f ca="1">IF($U82="","",SUMPRODUCT(--(Lineups!$Y$4:$Y$79=$U82),Lineups!$S$4:$S$79))</f>
        <v>0</v>
      </c>
      <c r="AJ82" s="94">
        <f t="shared" ca="1" si="55"/>
        <v>24</v>
      </c>
    </row>
    <row r="83" spans="1:36">
      <c r="A83" s="461">
        <f t="shared" si="46"/>
        <v>6</v>
      </c>
      <c r="B83" s="461" t="str">
        <f t="shared" si="47"/>
        <v>20</v>
      </c>
      <c r="C83" s="461" t="str">
        <f t="shared" si="47"/>
        <v>Devil Kitty</v>
      </c>
      <c r="D83" s="461">
        <f ca="1">IF($B83="","",SUMPRODUCT(--(Lineups!$F$4:$F$79=$B83),--(Lineups!$B$4:$B$79=""),Lineups!$AO$4:$AO$79))</f>
        <v>18</v>
      </c>
      <c r="F83" s="472">
        <f ca="1">IF($B83="","",SUMPRODUCT(--(Lineups!$F$4:$F$79=$B83),--(Lineups!$B$4:$B$79="X"),Lineups!$AO$4:$AO$79))</f>
        <v>0</v>
      </c>
      <c r="G83" s="472">
        <f ca="1">IF($B83="","",SUMPRODUCT(--(Lineups!$I$4:$I$79=$B83),Lineups!$AO$4:$AO$79))</f>
        <v>0</v>
      </c>
      <c r="H83" s="472">
        <f ca="1">IF($B83="","",SUMPRODUCT(--(Lineups!$L$4:$L$79=$B83),Lineups!$AO$4:$AO$79))</f>
        <v>0</v>
      </c>
      <c r="I83" s="472">
        <f ca="1">IF($B83="","",SUMPRODUCT(--(Lineups!$O$4:$O$79=$B83),Lineups!$AO$4:$AO$79))</f>
        <v>0</v>
      </c>
      <c r="J83" s="461">
        <f t="shared" ca="1" si="48"/>
        <v>0</v>
      </c>
      <c r="L83" s="461">
        <f t="shared" ca="1" si="49"/>
        <v>18</v>
      </c>
      <c r="O83" s="461">
        <f ca="1">IF($B83="","",SUMPRODUCT(--(Lineups!$C$4:$C$79=$B83),Lineups!$AO$4:$AO$79))</f>
        <v>0</v>
      </c>
      <c r="Q83" s="461">
        <f t="shared" ca="1" si="50"/>
        <v>18</v>
      </c>
      <c r="T83" s="461">
        <f t="shared" si="51"/>
        <v>6</v>
      </c>
      <c r="U83" s="461" t="str">
        <f t="shared" si="52"/>
        <v>42</v>
      </c>
      <c r="V83" s="461" t="str">
        <f t="shared" si="52"/>
        <v>Midnite Vulture</v>
      </c>
      <c r="W83" s="461">
        <f ca="1">IF($U83="","",SUMPRODUCT(--(Lineups!$AB$4:$AB$79=$U83),--(Lineups!$X$4:$X$79=""),Lineups!$S$4:$S$79))</f>
        <v>0</v>
      </c>
      <c r="Y83" s="472">
        <f ca="1">IF($U83="","",SUMPRODUCT(--(Lineups!$AB$4:$AB$79=$U83),--(Lineups!$X$4:$X$79="X"),Lineups!$S$4:$S$79))</f>
        <v>0</v>
      </c>
      <c r="Z83" s="472">
        <f ca="1">IF($U83="","",SUMPRODUCT(--(Lineups!$AE$4:$AE$79=$U83),Lineups!$S$4:$S$79))</f>
        <v>0</v>
      </c>
      <c r="AA83" s="472">
        <f ca="1">IF($U83="","",SUMPRODUCT(--(Lineups!$AH$4:$AH$79=$U83),Lineups!$S$4:$S$79))</f>
        <v>8</v>
      </c>
      <c r="AB83" s="472">
        <f ca="1">IF($U83="","",SUMPRODUCT(--(Lineups!$AK$4:$AK$79=$U83),Lineups!$S$4:$S$79))</f>
        <v>5</v>
      </c>
      <c r="AC83" s="461">
        <f t="shared" ca="1" si="53"/>
        <v>13</v>
      </c>
      <c r="AE83" s="461">
        <f t="shared" ca="1" si="54"/>
        <v>13</v>
      </c>
      <c r="AH83" s="461">
        <f ca="1">IF($U83="","",SUMPRODUCT(--(Lineups!$Y$4:$Y$79=$U83),Lineups!$S$4:$S$79))</f>
        <v>10</v>
      </c>
      <c r="AJ83" s="461">
        <f t="shared" ca="1" si="55"/>
        <v>23</v>
      </c>
    </row>
    <row r="84" spans="1:36">
      <c r="A84" s="94">
        <f t="shared" si="46"/>
        <v>7</v>
      </c>
      <c r="B84" s="94" t="str">
        <f t="shared" si="47"/>
        <v>20KN</v>
      </c>
      <c r="C84" s="94" t="str">
        <f t="shared" si="47"/>
        <v>Kraken Whips</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0</v>
      </c>
      <c r="I84" s="472">
        <f ca="1">IF($B84="","",SUMPRODUCT(--(Lineups!$O$4:$O$79=$B84),Lineups!$AO$4:$AO$79))</f>
        <v>0</v>
      </c>
      <c r="J84" s="94">
        <f t="shared" ca="1" si="48"/>
        <v>0</v>
      </c>
      <c r="L84" s="94">
        <f t="shared" ca="1" si="49"/>
        <v>0</v>
      </c>
      <c r="O84" s="94">
        <f ca="1">IF($B84="","",SUMPRODUCT(--(Lineups!$C$4:$C$79=$B84),Lineups!$AO$4:$AO$79))</f>
        <v>5</v>
      </c>
      <c r="Q84" s="94">
        <f t="shared" ca="1" si="50"/>
        <v>5</v>
      </c>
      <c r="T84" s="94">
        <f t="shared" si="51"/>
        <v>7</v>
      </c>
      <c r="U84" s="94" t="str">
        <f t="shared" si="52"/>
        <v>50</v>
      </c>
      <c r="V84" s="94" t="str">
        <f t="shared" si="52"/>
        <v>Sam-I-Slam</v>
      </c>
      <c r="W84" s="94">
        <f ca="1">IF($U84="","",SUMPRODUCT(--(Lineups!$AB$4:$AB$79=$U84),--(Lineups!$X$4:$X$79=""),Lineups!$S$4:$S$79))</f>
        <v>4</v>
      </c>
      <c r="Y84" s="472">
        <f ca="1">IF($U84="","",SUMPRODUCT(--(Lineups!$AB$4:$AB$79=$U84),--(Lineups!$X$4:$X$79="X"),Lineups!$S$4:$S$79))</f>
        <v>0</v>
      </c>
      <c r="Z84" s="472">
        <f ca="1">IF($U84="","",SUMPRODUCT(--(Lineups!$AE$4:$AE$79=$U84),Lineups!$S$4:$S$79))</f>
        <v>0</v>
      </c>
      <c r="AA84" s="472">
        <f ca="1">IF($U84="","",SUMPRODUCT(--(Lineups!$AH$4:$AH$79=$U84),Lineups!$S$4:$S$79))</f>
        <v>0</v>
      </c>
      <c r="AB84" s="472">
        <f ca="1">IF($U84="","",SUMPRODUCT(--(Lineups!$AK$4:$AK$79=$U84),Lineups!$S$4:$S$79))</f>
        <v>0</v>
      </c>
      <c r="AC84" s="94">
        <f t="shared" ca="1" si="53"/>
        <v>0</v>
      </c>
      <c r="AE84" s="94">
        <f t="shared" ca="1" si="54"/>
        <v>4</v>
      </c>
      <c r="AH84" s="94">
        <f ca="1">IF($U84="","",SUMPRODUCT(--(Lineups!$Y$4:$Y$79=$U84),Lineups!$S$4:$S$79))</f>
        <v>20</v>
      </c>
      <c r="AJ84" s="94">
        <f t="shared" ca="1" si="55"/>
        <v>24</v>
      </c>
    </row>
    <row r="85" spans="1:36">
      <c r="A85" s="461">
        <f t="shared" si="46"/>
        <v>8</v>
      </c>
      <c r="B85" s="461" t="str">
        <f t="shared" si="47"/>
        <v>212</v>
      </c>
      <c r="C85" s="461" t="str">
        <f t="shared" si="47"/>
        <v>Wham!tramck</v>
      </c>
      <c r="D85" s="461">
        <f ca="1">IF($B85="","",SUMPRODUCT(--(Lineups!$F$4:$F$79=$B85),--(Lineups!$B$4:$B$79=""),Lineups!$AO$4:$AO$79))</f>
        <v>0</v>
      </c>
      <c r="F85" s="472">
        <f ca="1">IF($B85="","",SUMPRODUCT(--(Lineups!$F$4:$F$79=$B85),--(Lineups!$B$4:$B$79="X"),Lineups!$AO$4:$AO$79))</f>
        <v>0</v>
      </c>
      <c r="G85" s="472">
        <f ca="1">IF($B85="","",SUMPRODUCT(--(Lineups!$I$4:$I$79=$B85),Lineups!$AO$4:$AO$79))</f>
        <v>8</v>
      </c>
      <c r="H85" s="472">
        <f ca="1">IF($B85="","",SUMPRODUCT(--(Lineups!$L$4:$L$79=$B85),Lineups!$AO$4:$AO$79))</f>
        <v>3</v>
      </c>
      <c r="I85" s="472">
        <f ca="1">IF($B85="","",SUMPRODUCT(--(Lineups!$O$4:$O$79=$B85),Lineups!$AO$4:$AO$79))</f>
        <v>14</v>
      </c>
      <c r="J85" s="461">
        <f t="shared" ca="1" si="48"/>
        <v>25</v>
      </c>
      <c r="L85" s="461">
        <f t="shared" ca="1" si="49"/>
        <v>25</v>
      </c>
      <c r="O85" s="461">
        <f ca="1">IF($B85="","",SUMPRODUCT(--(Lineups!$C$4:$C$79=$B85),Lineups!$AO$4:$AO$79))</f>
        <v>0</v>
      </c>
      <c r="Q85" s="461">
        <f t="shared" ca="1" si="50"/>
        <v>25</v>
      </c>
      <c r="T85" s="461">
        <f t="shared" si="51"/>
        <v>8</v>
      </c>
      <c r="U85" s="461" t="str">
        <f t="shared" si="52"/>
        <v>620</v>
      </c>
      <c r="V85" s="461" t="str">
        <f t="shared" si="52"/>
        <v>Lazer Beam</v>
      </c>
      <c r="W85" s="461">
        <f ca="1">IF($U85="","",SUMPRODUCT(--(Lineups!$AB$4:$AB$79=$U85),--(Lineups!$X$4:$X$79=""),Lineups!$S$4:$S$79))</f>
        <v>0</v>
      </c>
      <c r="Y85" s="472">
        <f ca="1">IF($U85="","",SUMPRODUCT(--(Lineups!$AB$4:$AB$79=$U85),--(Lineups!$X$4:$X$79="X"),Lineups!$S$4:$S$79))</f>
        <v>0</v>
      </c>
      <c r="Z85" s="472">
        <f ca="1">IF($U85="","",SUMPRODUCT(--(Lineups!$AE$4:$AE$79=$U85),Lineups!$S$4:$S$79))</f>
        <v>0</v>
      </c>
      <c r="AA85" s="472">
        <f ca="1">IF($U85="","",SUMPRODUCT(--(Lineups!$AH$4:$AH$79=$U85),Lineups!$S$4:$S$79))</f>
        <v>0</v>
      </c>
      <c r="AB85" s="472">
        <f ca="1">IF($U85="","",SUMPRODUCT(--(Lineups!$AK$4:$AK$79=$U85),Lineups!$S$4:$S$79))</f>
        <v>0</v>
      </c>
      <c r="AC85" s="461">
        <f t="shared" ca="1" si="53"/>
        <v>0</v>
      </c>
      <c r="AE85" s="461">
        <f t="shared" ca="1" si="54"/>
        <v>0</v>
      </c>
      <c r="AH85" s="461">
        <f ca="1">IF($U85="","",SUMPRODUCT(--(Lineups!$Y$4:$Y$79=$U85),Lineups!$S$4:$S$79))</f>
        <v>15</v>
      </c>
      <c r="AJ85" s="461">
        <f t="shared" ca="1" si="55"/>
        <v>15</v>
      </c>
    </row>
    <row r="86" spans="1:36">
      <c r="A86" s="94">
        <f t="shared" si="46"/>
        <v>9</v>
      </c>
      <c r="B86" s="94" t="str">
        <f t="shared" si="47"/>
        <v>33 1/3</v>
      </c>
      <c r="C86" s="94" t="str">
        <f t="shared" si="47"/>
        <v>Cookie Rumble</v>
      </c>
      <c r="D86" s="94">
        <f ca="1">IF($B86="","",SUMPRODUCT(--(Lineups!$F$4:$F$79=$B86),--(Lineups!$B$4:$B$79=""),Lineups!$AO$4:$AO$79))</f>
        <v>0</v>
      </c>
      <c r="F86" s="472">
        <f ca="1">IF($B86="","",SUMPRODUCT(--(Lineups!$F$4:$F$79=$B86),--(Lineups!$B$4:$B$79="X"),Lineups!$AO$4:$AO$79))</f>
        <v>0</v>
      </c>
      <c r="G86" s="472">
        <f ca="1">IF($B86="","",SUMPRODUCT(--(Lineups!$I$4:$I$79=$B86),Lineups!$AO$4:$AO$79))</f>
        <v>0</v>
      </c>
      <c r="H86" s="472">
        <f ca="1">IF($B86="","",SUMPRODUCT(--(Lineups!$L$4:$L$79=$B86),Lineups!$AO$4:$AO$79))</f>
        <v>0</v>
      </c>
      <c r="I86" s="472">
        <f ca="1">IF($B86="","",SUMPRODUCT(--(Lineups!$O$4:$O$79=$B86),Lineups!$AO$4:$AO$79))</f>
        <v>4</v>
      </c>
      <c r="J86" s="94">
        <f t="shared" ca="1" si="48"/>
        <v>4</v>
      </c>
      <c r="L86" s="94">
        <f t="shared" ca="1" si="49"/>
        <v>4</v>
      </c>
      <c r="O86" s="94">
        <f ca="1">IF($B86="","",SUMPRODUCT(--(Lineups!$C$4:$C$79=$B86),Lineups!$AO$4:$AO$79))</f>
        <v>11</v>
      </c>
      <c r="Q86" s="94">
        <f t="shared" ca="1" si="50"/>
        <v>15</v>
      </c>
      <c r="T86" s="94">
        <f t="shared" si="51"/>
        <v>9</v>
      </c>
      <c r="U86" s="94" t="str">
        <f t="shared" si="52"/>
        <v>7</v>
      </c>
      <c r="V86" s="94" t="str">
        <f t="shared" si="52"/>
        <v>CottonCandy Princess</v>
      </c>
      <c r="W86" s="94">
        <f ca="1">IF($U86="","",SUMPRODUCT(--(Lineups!$AB$4:$AB$79=$U86),--(Lineups!$X$4:$X$79=""),Lineups!$S$4:$S$79))</f>
        <v>5</v>
      </c>
      <c r="Y86" s="472">
        <f ca="1">IF($U86="","",SUMPRODUCT(--(Lineups!$AB$4:$AB$79=$U86),--(Lineups!$X$4:$X$79="X"),Lineups!$S$4:$S$79))</f>
        <v>9</v>
      </c>
      <c r="Z86" s="472">
        <f ca="1">IF($U86="","",SUMPRODUCT(--(Lineups!$AE$4:$AE$79=$U86),Lineups!$S$4:$S$79))</f>
        <v>10</v>
      </c>
      <c r="AA86" s="472">
        <f ca="1">IF($U86="","",SUMPRODUCT(--(Lineups!$AH$4:$AH$79=$U86),Lineups!$S$4:$S$79))</f>
        <v>11</v>
      </c>
      <c r="AB86" s="472">
        <f ca="1">IF($U86="","",SUMPRODUCT(--(Lineups!$AK$4:$AK$79=$U86),Lineups!$S$4:$S$79))</f>
        <v>14</v>
      </c>
      <c r="AC86" s="94">
        <f t="shared" ca="1" si="53"/>
        <v>44</v>
      </c>
      <c r="AE86" s="94">
        <f t="shared" ca="1" si="54"/>
        <v>49</v>
      </c>
      <c r="AH86" s="94">
        <f ca="1">IF($U86="","",SUMPRODUCT(--(Lineups!$Y$4:$Y$79=$U86),Lineups!$S$4:$S$79))</f>
        <v>0</v>
      </c>
      <c r="AJ86" s="94">
        <f t="shared" ca="1" si="55"/>
        <v>49</v>
      </c>
    </row>
    <row r="87" spans="1:36">
      <c r="A87" s="461">
        <f t="shared" si="46"/>
        <v>10</v>
      </c>
      <c r="B87" s="461" t="str">
        <f t="shared" si="47"/>
        <v>428</v>
      </c>
      <c r="C87" s="461" t="str">
        <f t="shared" si="47"/>
        <v>Freakin' Rican</v>
      </c>
      <c r="D87" s="461">
        <f ca="1">IF($B87="","",SUMPRODUCT(--(Lineups!$F$4:$F$79=$B87),--(Lineups!$B$4:$B$79=""),Lineups!$AO$4:$AO$79))</f>
        <v>4</v>
      </c>
      <c r="F87" s="472">
        <f ca="1">IF($B87="","",SUMPRODUCT(--(Lineups!$F$4:$F$79=$B87),--(Lineups!$B$4:$B$79="X"),Lineups!$AO$4:$AO$79))</f>
        <v>0</v>
      </c>
      <c r="G87" s="472">
        <f ca="1">IF($B87="","",SUMPRODUCT(--(Lineups!$I$4:$I$79=$B87),Lineups!$AO$4:$AO$79))</f>
        <v>0</v>
      </c>
      <c r="H87" s="472">
        <f ca="1">IF($B87="","",SUMPRODUCT(--(Lineups!$L$4:$L$79=$B87),Lineups!$AO$4:$AO$79))</f>
        <v>0</v>
      </c>
      <c r="I87" s="472">
        <f ca="1">IF($B87="","",SUMPRODUCT(--(Lineups!$O$4:$O$79=$B87),Lineups!$AO$4:$AO$79))</f>
        <v>0</v>
      </c>
      <c r="J87" s="461">
        <f t="shared" ca="1" si="48"/>
        <v>0</v>
      </c>
      <c r="L87" s="461">
        <f t="shared" ca="1" si="49"/>
        <v>4</v>
      </c>
      <c r="O87" s="461">
        <f ca="1">IF($B87="","",SUMPRODUCT(--(Lineups!$C$4:$C$79=$B87),Lineups!$AO$4:$AO$79))</f>
        <v>11</v>
      </c>
      <c r="Q87" s="461">
        <f t="shared" ca="1" si="50"/>
        <v>15</v>
      </c>
      <c r="T87" s="461">
        <f t="shared" si="51"/>
        <v>10</v>
      </c>
      <c r="U87" s="461" t="str">
        <f t="shared" si="52"/>
        <v>72</v>
      </c>
      <c r="V87" s="461" t="str">
        <f t="shared" si="52"/>
        <v>Demonica Mars</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0</v>
      </c>
      <c r="AB87" s="472">
        <f ca="1">IF($U87="","",SUMPRODUCT(--(Lineups!$AK$4:$AK$79=$U87),Lineups!$S$4:$S$79))</f>
        <v>4</v>
      </c>
      <c r="AC87" s="461">
        <f t="shared" ca="1" si="53"/>
        <v>4</v>
      </c>
      <c r="AE87" s="461">
        <f t="shared" ca="1" si="54"/>
        <v>4</v>
      </c>
      <c r="AH87" s="461">
        <f ca="1">IF($U87="","",SUMPRODUCT(--(Lineups!$Y$4:$Y$79=$U87),Lineups!$S$4:$S$79))</f>
        <v>0</v>
      </c>
      <c r="AJ87" s="461">
        <f t="shared" ca="1" si="55"/>
        <v>4</v>
      </c>
    </row>
    <row r="88" spans="1:36">
      <c r="A88" s="94">
        <f t="shared" si="46"/>
        <v>11</v>
      </c>
      <c r="B88" s="94" t="str">
        <f t="shared" si="47"/>
        <v>6</v>
      </c>
      <c r="C88" s="94" t="str">
        <f t="shared" si="47"/>
        <v>Elle McFearsome</v>
      </c>
      <c r="D88" s="94">
        <f ca="1">IF($B88="","",SUMPRODUCT(--(Lineups!$F$4:$F$79=$B88),--(Lineups!$B$4:$B$79=""),Lineups!$AO$4:$AO$79))</f>
        <v>9</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9</v>
      </c>
      <c r="O88" s="94">
        <f ca="1">IF($B88="","",SUMPRODUCT(--(Lineups!$C$4:$C$79=$B88),Lineups!$AO$4:$AO$79))</f>
        <v>0</v>
      </c>
      <c r="Q88" s="94">
        <f t="shared" ca="1" si="50"/>
        <v>9</v>
      </c>
      <c r="T88" s="94">
        <f t="shared" si="51"/>
        <v>11</v>
      </c>
      <c r="U88" s="94" t="str">
        <f t="shared" si="52"/>
        <v>9.81</v>
      </c>
      <c r="V88" s="94" t="str">
        <f t="shared" si="52"/>
        <v>Uhura Belle Death</v>
      </c>
      <c r="W88" s="94">
        <f ca="1">IF($U88="","",SUMPRODUCT(--(Lineups!$AB$4:$AB$79=$U88),--(Lineups!$X$4:$X$79=""),Lineups!$S$4:$S$79))</f>
        <v>0</v>
      </c>
      <c r="Y88" s="472">
        <f ca="1">IF($U88="","",SUMPRODUCT(--(Lineups!$AB$4:$AB$79=$U88),--(Lineups!$X$4:$X$79="X"),Lineups!$S$4:$S$79))</f>
        <v>0</v>
      </c>
      <c r="Z88" s="472">
        <f ca="1">IF($U88="","",SUMPRODUCT(--(Lineups!$AE$4:$AE$79=$U88),Lineups!$S$4:$S$79))</f>
        <v>0</v>
      </c>
      <c r="AA88" s="472">
        <f ca="1">IF($U88="","",SUMPRODUCT(--(Lineups!$AH$4:$AH$79=$U88),Lineups!$S$4:$S$79))</f>
        <v>0</v>
      </c>
      <c r="AB88" s="472">
        <f ca="1">IF($U88="","",SUMPRODUCT(--(Lineups!$AK$4:$AK$79=$U88),Lineups!$S$4:$S$79))</f>
        <v>0</v>
      </c>
      <c r="AC88" s="94">
        <f t="shared" ca="1" si="53"/>
        <v>0</v>
      </c>
      <c r="AE88" s="94">
        <f t="shared" ca="1" si="54"/>
        <v>0</v>
      </c>
      <c r="AH88" s="94">
        <f ca="1">IF($U88="","",SUMPRODUCT(--(Lineups!$Y$4:$Y$79=$U88),Lineups!$S$4:$S$79))</f>
        <v>20</v>
      </c>
      <c r="AJ88" s="94">
        <f t="shared" ca="1" si="55"/>
        <v>20</v>
      </c>
    </row>
    <row r="89" spans="1:36">
      <c r="A89" s="461">
        <f t="shared" si="46"/>
        <v>12</v>
      </c>
      <c r="B89" s="461" t="str">
        <f t="shared" si="47"/>
        <v>728</v>
      </c>
      <c r="C89" s="461" t="str">
        <f t="shared" si="47"/>
        <v>Combat Cat</v>
      </c>
      <c r="D89" s="461">
        <f ca="1">IF($B89="","",SUMPRODUCT(--(Lineups!$F$4:$F$79=$B89),--(Lineups!$B$4:$B$79=""),Lineups!$AO$4:$AO$79))</f>
        <v>0</v>
      </c>
      <c r="F89" s="472">
        <f ca="1">IF($B89="","",SUMPRODUCT(--(Lineups!$F$4:$F$79=$B89),--(Lineups!$B$4:$B$79="X"),Lineups!$AO$4:$AO$79))</f>
        <v>0</v>
      </c>
      <c r="G89" s="472">
        <f ca="1">IF($B89="","",SUMPRODUCT(--(Lineups!$I$4:$I$79=$B89),Lineups!$AO$4:$AO$79))</f>
        <v>1</v>
      </c>
      <c r="H89" s="472">
        <f ca="1">IF($B89="","",SUMPRODUCT(--(Lineups!$L$4:$L$79=$B89),Lineups!$AO$4:$AO$79))</f>
        <v>4</v>
      </c>
      <c r="I89" s="472">
        <f ca="1">IF($B89="","",SUMPRODUCT(--(Lineups!$O$4:$O$79=$B89),Lineups!$AO$4:$AO$79))</f>
        <v>0</v>
      </c>
      <c r="J89" s="461">
        <f t="shared" ca="1" si="48"/>
        <v>5</v>
      </c>
      <c r="L89" s="461">
        <f t="shared" ca="1" si="49"/>
        <v>5</v>
      </c>
      <c r="O89" s="461">
        <f ca="1">IF($B89="","",SUMPRODUCT(--(Lineups!$C$4:$C$79=$B89),Lineups!$AO$4:$AO$79))</f>
        <v>0</v>
      </c>
      <c r="Q89" s="461">
        <f t="shared" ca="1" si="50"/>
        <v>5</v>
      </c>
      <c r="T89" s="461">
        <f t="shared" si="51"/>
        <v>12</v>
      </c>
      <c r="U89" s="461" t="str">
        <f t="shared" si="52"/>
        <v>I-75</v>
      </c>
      <c r="V89" s="461" t="str">
        <f t="shared" si="52"/>
        <v>Diesel Doll</v>
      </c>
      <c r="W89" s="461">
        <f ca="1">IF($U89="","",SUMPRODUCT(--(Lineups!$AB$4:$AB$79=$U89),--(Lineups!$X$4:$X$79=""),Lineups!$S$4:$S$79))</f>
        <v>23</v>
      </c>
      <c r="Y89" s="472">
        <f ca="1">IF($U89="","",SUMPRODUCT(--(Lineups!$AB$4:$AB$79=$U89),--(Lineups!$X$4:$X$79="X"),Lineups!$S$4:$S$79))</f>
        <v>0</v>
      </c>
      <c r="Z89" s="472">
        <f ca="1">IF($U89="","",SUMPRODUCT(--(Lineups!$AE$4:$AE$79=$U89),Lineups!$S$4:$S$79))</f>
        <v>4</v>
      </c>
      <c r="AA89" s="472">
        <f ca="1">IF($U89="","",SUMPRODUCT(--(Lineups!$AH$4:$AH$79=$U89),Lineups!$S$4:$S$79))</f>
        <v>4</v>
      </c>
      <c r="AB89" s="472">
        <f ca="1">IF($U89="","",SUMPRODUCT(--(Lineups!$AK$4:$AK$79=$U89),Lineups!$S$4:$S$79))</f>
        <v>0</v>
      </c>
      <c r="AC89" s="461">
        <f t="shared" ca="1" si="53"/>
        <v>8</v>
      </c>
      <c r="AE89" s="461">
        <f t="shared" ca="1" si="54"/>
        <v>31</v>
      </c>
      <c r="AH89" s="461">
        <f ca="1">IF($U89="","",SUMPRODUCT(--(Lineups!$Y$4:$Y$79=$U89),Lineups!$S$4:$S$79))</f>
        <v>0</v>
      </c>
      <c r="AJ89" s="461">
        <f t="shared" ca="1" si="55"/>
        <v>31</v>
      </c>
    </row>
    <row r="90" spans="1:36">
      <c r="A90" s="94">
        <f t="shared" si="46"/>
        <v>13</v>
      </c>
      <c r="B90" s="94" t="str">
        <f t="shared" si="47"/>
        <v>80</v>
      </c>
      <c r="C90" s="94" t="str">
        <f t="shared" si="47"/>
        <v>Mean Streak</v>
      </c>
      <c r="D90" s="94">
        <f ca="1">IF($B90="","",SUMPRODUCT(--(Lineups!$F$4:$F$79=$B90),--(Lineups!$B$4:$B$79=""),Lineups!$AO$4:$AO$79))</f>
        <v>0</v>
      </c>
      <c r="F90" s="472">
        <f ca="1">IF($B90="","",SUMPRODUCT(--(Lineups!$F$4:$F$79=$B90),--(Lineups!$B$4:$B$79="X"),Lineups!$AO$4:$AO$79))</f>
        <v>0</v>
      </c>
      <c r="G90" s="472">
        <f ca="1">IF($B90="","",SUMPRODUCT(--(Lineups!$I$4:$I$79=$B90),Lineups!$AO$4:$AO$79))</f>
        <v>0</v>
      </c>
      <c r="H90" s="472">
        <f ca="1">IF($B90="","",SUMPRODUCT(--(Lineups!$L$4:$L$79=$B90),Lineups!$AO$4:$AO$79))</f>
        <v>0</v>
      </c>
      <c r="I90" s="472">
        <f ca="1">IF($B90="","",SUMPRODUCT(--(Lineups!$O$4:$O$79=$B90),Lineups!$AO$4:$AO$79))</f>
        <v>1</v>
      </c>
      <c r="J90" s="94">
        <f t="shared" ca="1" si="48"/>
        <v>1</v>
      </c>
      <c r="L90" s="94">
        <f t="shared" ca="1" si="49"/>
        <v>1</v>
      </c>
      <c r="O90" s="94">
        <f ca="1">IF($B90="","",SUMPRODUCT(--(Lineups!$C$4:$C$79=$B90),Lineups!$AO$4:$AO$79))</f>
        <v>4</v>
      </c>
      <c r="Q90" s="94">
        <f t="shared" ca="1" si="50"/>
        <v>5</v>
      </c>
      <c r="T90" s="94">
        <f t="shared" si="51"/>
        <v>13</v>
      </c>
      <c r="U90" s="94" t="str">
        <f t="shared" si="52"/>
        <v>N2O</v>
      </c>
      <c r="V90" s="94" t="str">
        <f t="shared" si="52"/>
        <v>Cool Whip</v>
      </c>
      <c r="W90" s="94">
        <f ca="1">IF($U90="","",SUMPRODUCT(--(Lineups!$AB$4:$AB$79=$U90),--(Lineups!$X$4:$X$79=""),Lineups!$S$4:$S$79))</f>
        <v>0</v>
      </c>
      <c r="Y90" s="472">
        <f ca="1">IF($U90="","",SUMPRODUCT(--(Lineups!$AB$4:$AB$79=$U90),--(Lineups!$X$4:$X$79="X"),Lineups!$S$4:$S$79))</f>
        <v>4</v>
      </c>
      <c r="Z90" s="472">
        <f ca="1">IF($U90="","",SUMPRODUCT(--(Lineups!$AE$4:$AE$79=$U90),Lineups!$S$4:$S$79))</f>
        <v>25</v>
      </c>
      <c r="AA90" s="472">
        <f ca="1">IF($U90="","",SUMPRODUCT(--(Lineups!$AH$4:$AH$79=$U90),Lineups!$S$4:$S$79))</f>
        <v>2</v>
      </c>
      <c r="AB90" s="472">
        <f ca="1">IF($U90="","",SUMPRODUCT(--(Lineups!$AK$4:$AK$79=$U90),Lineups!$S$4:$S$79))</f>
        <v>0</v>
      </c>
      <c r="AC90" s="94">
        <f t="shared" ca="1" si="53"/>
        <v>31</v>
      </c>
      <c r="AE90" s="94">
        <f t="shared" ca="1" si="54"/>
        <v>31</v>
      </c>
      <c r="AH90" s="94">
        <f ca="1">IF($U90="","",SUMPRODUCT(--(Lineups!$Y$4:$Y$79=$U90),Lineups!$S$4:$S$79))</f>
        <v>0</v>
      </c>
      <c r="AJ90" s="94">
        <f t="shared" ca="1" si="55"/>
        <v>31</v>
      </c>
    </row>
    <row r="91" spans="1:36">
      <c r="A91" s="461">
        <f t="shared" si="46"/>
        <v>14</v>
      </c>
      <c r="B91" s="461" t="str">
        <f t="shared" si="47"/>
        <v>9.99</v>
      </c>
      <c r="C91" s="461" t="str">
        <f t="shared" si="47"/>
        <v>U.S.S. DentHerPrize</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0</v>
      </c>
      <c r="I91" s="472">
        <f ca="1">IF($B91="","",SUMPRODUCT(--(Lineups!$O$4:$O$79=$B91),Lineups!$AO$4:$AO$79))</f>
        <v>0</v>
      </c>
      <c r="J91" s="461">
        <f t="shared" ca="1" si="48"/>
        <v>0</v>
      </c>
      <c r="L91" s="461">
        <f t="shared" ca="1" si="49"/>
        <v>0</v>
      </c>
      <c r="O91" s="461">
        <f ca="1">IF($B91="","",SUMPRODUCT(--(Lineups!$C$4:$C$79=$B91),Lineups!$AO$4:$AO$79))</f>
        <v>0</v>
      </c>
      <c r="Q91" s="461">
        <f t="shared" ca="1" si="50"/>
        <v>0</v>
      </c>
      <c r="T91" s="461">
        <f t="shared" si="51"/>
        <v>14</v>
      </c>
      <c r="U91" s="461" t="str">
        <f t="shared" si="52"/>
        <v>W00T</v>
      </c>
      <c r="V91" s="461" t="str">
        <f t="shared" si="52"/>
        <v>Genniferal</v>
      </c>
      <c r="W91" s="461">
        <f ca="1">IF($U91="","",SUMPRODUCT(--(Lineups!$AB$4:$AB$79=$U91),--(Lineups!$X$4:$X$79=""),Lineups!$S$4:$S$79))</f>
        <v>30</v>
      </c>
      <c r="Y91" s="472">
        <f ca="1">IF($U91="","",SUMPRODUCT(--(Lineups!$AB$4:$AB$79=$U91),--(Lineups!$X$4:$X$79="X"),Lineups!$S$4:$S$79))</f>
        <v>0</v>
      </c>
      <c r="Z91" s="472">
        <f ca="1">IF($U91="","",SUMPRODUCT(--(Lineups!$AE$4:$AE$79=$U91),Lineups!$S$4:$S$79))</f>
        <v>1</v>
      </c>
      <c r="AA91" s="472">
        <f ca="1">IF($U91="","",SUMPRODUCT(--(Lineups!$AH$4:$AH$79=$U91),Lineups!$S$4:$S$79))</f>
        <v>0</v>
      </c>
      <c r="AB91" s="472">
        <f ca="1">IF($U91="","",SUMPRODUCT(--(Lineups!$AK$4:$AK$79=$U91),Lineups!$S$4:$S$79))</f>
        <v>0</v>
      </c>
      <c r="AC91" s="461">
        <f t="shared" ca="1" si="53"/>
        <v>1</v>
      </c>
      <c r="AE91" s="461">
        <f t="shared" ca="1" si="54"/>
        <v>31</v>
      </c>
      <c r="AH91" s="461">
        <f ca="1">IF($U91="","",SUMPRODUCT(--(Lineups!$Y$4:$Y$79=$U91),Lineups!$S$4:$S$79))</f>
        <v>0</v>
      </c>
      <c r="AJ91" s="461">
        <f t="shared" ca="1" si="55"/>
        <v>31</v>
      </c>
    </row>
    <row r="92" spans="1:36">
      <c r="A92" s="94">
        <f t="shared" si="46"/>
        <v>15</v>
      </c>
      <c r="B92" s="94" t="str">
        <f t="shared" si="47"/>
        <v>F14</v>
      </c>
      <c r="C92" s="94" t="str">
        <f t="shared" si="47"/>
        <v>Apertorture</v>
      </c>
      <c r="D92" s="94">
        <f ca="1">IF($B92="","",SUMPRODUCT(--(Lineups!$F$4:$F$79=$B92),--(Lineups!$B$4:$B$79=""),Lineups!$AO$4:$AO$79))</f>
        <v>0</v>
      </c>
      <c r="F92" s="472">
        <f ca="1">IF($B92="","",SUMPRODUCT(--(Lineups!$F$4:$F$79=$B92),--(Lineups!$B$4:$B$79="X"),Lineups!$AO$4:$AO$79))</f>
        <v>0</v>
      </c>
      <c r="G92" s="472">
        <f ca="1">IF($B92="","",SUMPRODUCT(--(Lineups!$I$4:$I$79=$B92),Lineups!$AO$4:$AO$79))</f>
        <v>0</v>
      </c>
      <c r="H92" s="472">
        <f ca="1">IF($B92="","",SUMPRODUCT(--(Lineups!$L$4:$L$79=$B92),Lineups!$AO$4:$AO$79))</f>
        <v>4</v>
      </c>
      <c r="I92" s="472">
        <f ca="1">IF($B92="","",SUMPRODUCT(--(Lineups!$O$4:$O$79=$B92),Lineups!$AO$4:$AO$79))</f>
        <v>1</v>
      </c>
      <c r="J92" s="94">
        <f t="shared" ca="1" si="48"/>
        <v>5</v>
      </c>
      <c r="L92" s="94">
        <f t="shared" ca="1" si="49"/>
        <v>5</v>
      </c>
      <c r="O92" s="94">
        <f ca="1">IF($B92="","",SUMPRODUCT(--(Lineups!$C$4:$C$79=$B92),Lineups!$AO$4:$AO$79))</f>
        <v>0</v>
      </c>
      <c r="Q92" s="94">
        <f t="shared" ca="1" si="50"/>
        <v>5</v>
      </c>
      <c r="T92" s="94">
        <f t="shared" si="51"/>
        <v>15</v>
      </c>
      <c r="U92" s="94" t="str">
        <f t="shared" si="52"/>
        <v>Z28</v>
      </c>
      <c r="V92" s="94" t="str">
        <f t="shared" si="52"/>
        <v>V8 Nightmare</v>
      </c>
      <c r="W92" s="94">
        <f ca="1">IF($U92="","",SUMPRODUCT(--(Lineups!$AB$4:$AB$79=$U92),--(Lineups!$X$4:$X$79=""),Lineups!$S$4:$S$79))</f>
        <v>0</v>
      </c>
      <c r="Y92" s="472">
        <f ca="1">IF($U92="","",SUMPRODUCT(--(Lineups!$AB$4:$AB$79=$U92),--(Lineups!$X$4:$X$79="X"),Lineups!$S$4:$S$79))</f>
        <v>0</v>
      </c>
      <c r="Z92" s="472">
        <f ca="1">IF($U92="","",SUMPRODUCT(--(Lineups!$AE$4:$AE$79=$U92),Lineups!$S$4:$S$79))</f>
        <v>2</v>
      </c>
      <c r="AA92" s="472">
        <f ca="1">IF($U92="","",SUMPRODUCT(--(Lineups!$AH$4:$AH$79=$U92),Lineups!$S$4:$S$79))</f>
        <v>0</v>
      </c>
      <c r="AB92" s="472">
        <f ca="1">IF($U92="","",SUMPRODUCT(--(Lineups!$AK$4:$AK$79=$U92),Lineups!$S$4:$S$79))</f>
        <v>0</v>
      </c>
      <c r="AC92" s="94">
        <f t="shared" ca="1" si="53"/>
        <v>2</v>
      </c>
      <c r="AE92" s="94">
        <f t="shared" ca="1" si="54"/>
        <v>2</v>
      </c>
      <c r="AH92" s="94">
        <f ca="1">IF($U92="","",SUMPRODUCT(--(Lineups!$Y$4:$Y$79=$U92),Lineups!$S$4:$S$79))</f>
        <v>0</v>
      </c>
      <c r="AJ92" s="94">
        <f t="shared" ca="1" si="55"/>
        <v>2</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275</v>
      </c>
      <c r="V101" s="308" t="s">
        <v>275</v>
      </c>
    </row>
    <row r="102" spans="1:37">
      <c r="C102" s="20" t="s">
        <v>205</v>
      </c>
      <c r="D102" s="20">
        <f ca="1">MAX(Score!A166,Score!T166)</f>
        <v>20</v>
      </c>
      <c r="V102" s="20" t="s">
        <v>205</v>
      </c>
      <c r="W102" s="20">
        <f>D102</f>
        <v>20</v>
      </c>
    </row>
    <row r="103" spans="1:37">
      <c r="C103" s="20" t="s">
        <v>206</v>
      </c>
      <c r="D103" s="20">
        <f ca="1">SK!H164</f>
        <v>8</v>
      </c>
      <c r="V103" s="20" t="s">
        <v>207</v>
      </c>
      <c r="W103" s="20">
        <f ca="1">SK!X164</f>
        <v>12</v>
      </c>
    </row>
    <row r="104" spans="1:37">
      <c r="C104" s="20" t="s">
        <v>208</v>
      </c>
      <c r="D104" s="20">
        <f>COUNTIF(Q108:Q123,"&gt;0")</f>
        <v>14</v>
      </c>
      <c r="V104" s="20" t="s">
        <v>209</v>
      </c>
      <c r="W104" s="20">
        <f>COUNTIF(AJ108:AJ123,"&gt;0")</f>
        <v>15</v>
      </c>
    </row>
    <row r="106" spans="1:37">
      <c r="A106" s="1343" t="s">
        <v>210</v>
      </c>
      <c r="B106" s="1343"/>
      <c r="C106" s="1343"/>
      <c r="D106" s="309"/>
      <c r="E106" s="309"/>
      <c r="F106" s="309"/>
      <c r="G106" s="309"/>
      <c r="H106" s="309"/>
      <c r="I106" s="309"/>
      <c r="J106" s="309"/>
      <c r="K106" s="309"/>
      <c r="L106" s="309"/>
      <c r="M106" s="309"/>
      <c r="N106" s="309"/>
      <c r="O106" s="309"/>
      <c r="P106" s="309"/>
      <c r="Q106" s="309"/>
      <c r="R106" s="309"/>
      <c r="T106" s="1343" t="s">
        <v>210</v>
      </c>
      <c r="U106" s="1343"/>
      <c r="V106" s="1343"/>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202</v>
      </c>
      <c r="C107" s="466" t="s">
        <v>203</v>
      </c>
      <c r="D107" s="466" t="s">
        <v>187</v>
      </c>
      <c r="E107" s="467" t="s">
        <v>211</v>
      </c>
      <c r="F107" s="471" t="s">
        <v>189</v>
      </c>
      <c r="G107" s="471" t="s">
        <v>189</v>
      </c>
      <c r="H107" s="471" t="s">
        <v>189</v>
      </c>
      <c r="I107" s="471" t="s">
        <v>189</v>
      </c>
      <c r="J107" s="466" t="s">
        <v>212</v>
      </c>
      <c r="K107" s="467" t="s">
        <v>213</v>
      </c>
      <c r="L107" s="466" t="s">
        <v>214</v>
      </c>
      <c r="M107" s="467" t="s">
        <v>215</v>
      </c>
      <c r="N107" s="468" t="s">
        <v>29</v>
      </c>
      <c r="O107" s="466" t="s">
        <v>190</v>
      </c>
      <c r="P107" s="467" t="s">
        <v>216</v>
      </c>
      <c r="Q107" s="466" t="s">
        <v>23</v>
      </c>
      <c r="R107" s="467" t="s">
        <v>217</v>
      </c>
      <c r="S107" s="302"/>
      <c r="T107" s="466">
        <v>0</v>
      </c>
      <c r="U107" s="466" t="s">
        <v>202</v>
      </c>
      <c r="V107" s="466" t="s">
        <v>203</v>
      </c>
      <c r="W107" s="466" t="s">
        <v>187</v>
      </c>
      <c r="X107" s="467" t="s">
        <v>211</v>
      </c>
      <c r="Y107" s="471" t="s">
        <v>189</v>
      </c>
      <c r="Z107" s="471" t="s">
        <v>189</v>
      </c>
      <c r="AA107" s="471" t="s">
        <v>189</v>
      </c>
      <c r="AB107" s="471" t="s">
        <v>189</v>
      </c>
      <c r="AC107" s="466" t="s">
        <v>212</v>
      </c>
      <c r="AD107" s="467" t="s">
        <v>213</v>
      </c>
      <c r="AE107" s="466" t="s">
        <v>214</v>
      </c>
      <c r="AF107" s="467" t="s">
        <v>215</v>
      </c>
      <c r="AG107" s="468" t="s">
        <v>29</v>
      </c>
      <c r="AH107" s="466" t="s">
        <v>190</v>
      </c>
      <c r="AI107" s="467" t="s">
        <v>216</v>
      </c>
      <c r="AJ107" s="466" t="s">
        <v>23</v>
      </c>
      <c r="AK107" s="467" t="s">
        <v>217</v>
      </c>
    </row>
    <row r="108" spans="1:37">
      <c r="A108" s="94">
        <f t="shared" ref="A108:A127" si="56">A107+1</f>
        <v>1</v>
      </c>
      <c r="B108" s="270" t="str">
        <f t="shared" ref="B108:C127" si="57">B9</f>
        <v>138</v>
      </c>
      <c r="C108" s="270" t="str">
        <f t="shared" si="57"/>
        <v>Mag Pie</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1</v>
      </c>
      <c r="H108" s="472">
        <f ca="1">IF($B108="","",SUMPRODUCT(--(Lineups!L$88:L$163=$B108),--(Lineups!A$88:A$163&lt;&gt;"SP")))</f>
        <v>4</v>
      </c>
      <c r="I108" s="472">
        <f ca="1">IF($B108="","",SUMPRODUCT(--(Lineups!O$88:O$163=$B108),--(Lineups!A$88:A$163&lt;&gt;"SP")))</f>
        <v>0</v>
      </c>
      <c r="J108" s="20">
        <f t="shared" ref="J108:J127" si="59">IF(B108="","",SUM(F108:I108))</f>
        <v>5</v>
      </c>
      <c r="K108" s="464">
        <f t="shared" ref="K108:K127" si="60">IF($B108="","",IF($D$102=0,"",J108/$D$102))</f>
        <v>0.25</v>
      </c>
      <c r="L108" s="20">
        <f t="shared" ref="L108:L127" si="61">IF(B108="","",SUM(D108,J108))</f>
        <v>5</v>
      </c>
      <c r="M108" s="464">
        <f t="shared" ref="M108:M127" si="62">IF($B108="","",IF($D$102=0,"",L108/$D$102))</f>
        <v>0.25</v>
      </c>
      <c r="N108" s="469" t="str">
        <f ca="1">IF(B108="","",IF(OR(SK!E173="",SK!E173=0),"",SK!H173))</f>
        <v/>
      </c>
      <c r="O108" s="20">
        <f ca="1">IF($B108="","",SUMPRODUCT(--(Lineups!C$88:C$163=$B108)))</f>
        <v>0</v>
      </c>
      <c r="P108" s="464">
        <f t="shared" ref="P108:P127" si="63">IF($B108="","",IF($D$102=0,"",O108/$D$102))</f>
        <v>0</v>
      </c>
      <c r="Q108" s="20">
        <f t="shared" ref="Q108:Q127" si="64">IF(B108="","",SUM(L108,O108))</f>
        <v>5</v>
      </c>
      <c r="R108" s="464">
        <f t="shared" ref="R108:R127" si="65">IF($B108="","",IF($D$102=0,"",Q108/$D$102))</f>
        <v>0.25</v>
      </c>
      <c r="T108" s="94">
        <f t="shared" ref="T108:T127" si="66">T107+1</f>
        <v>1</v>
      </c>
      <c r="U108" s="270" t="str">
        <f t="shared" ref="U108:V127" si="67">U9</f>
        <v>182</v>
      </c>
      <c r="V108" s="270" t="str">
        <f t="shared" si="67"/>
        <v>Travis Blocker</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0</v>
      </c>
      <c r="AA108" s="472">
        <f ca="1">IF($U108="","",SUMPRODUCT(--(Lineups!AH$88:AH$163=$U108),--(Lineups!W$88:W$163&lt;&gt;"SP")))</f>
        <v>2</v>
      </c>
      <c r="AB108" s="472">
        <f ca="1">IF($U108="","",SUMPRODUCT(--(Lineups!AK$88:AK$163=$U108),--(Lineups!W$88:W$163&lt;&gt;"SP")))</f>
        <v>3</v>
      </c>
      <c r="AC108" s="20">
        <f t="shared" ref="AC108:AC127" si="69">IF(U108="","",SUM(Y108:AB108))</f>
        <v>5</v>
      </c>
      <c r="AD108" s="464">
        <f t="shared" ref="AD108:AD127" si="70">IF($U108="","",IF($W$102=0,"",AC108/$W$102))</f>
        <v>0.25</v>
      </c>
      <c r="AE108" s="20">
        <f t="shared" ref="AE108:AE127" si="71">IF(U108="","",SUM(W108,AC108))</f>
        <v>5</v>
      </c>
      <c r="AF108" s="464">
        <f t="shared" ref="AF108:AF127" si="72">IF($U108="","",IF($W$102=0,"",AE108/$W$102))</f>
        <v>0.25</v>
      </c>
      <c r="AG108" s="469" t="str">
        <f ca="1">IF(U108="","",IF(OR(SK!U173="",SK!U173=0),"",SK!X173))</f>
        <v/>
      </c>
      <c r="AH108" s="20">
        <f ca="1">IF($U108="","",SUMPRODUCT(--(Lineups!Y$88:Y$163=$U108)))</f>
        <v>0</v>
      </c>
      <c r="AI108" s="464">
        <f t="shared" ref="AI108:AI127" si="73">IF($U108="","",IF($W$102=0,"",AH108/$W$102))</f>
        <v>0</v>
      </c>
      <c r="AJ108" s="20">
        <f t="shared" ref="AJ108:AJ127" si="74">IF(U108="","",SUM(AE108,AH108))</f>
        <v>5</v>
      </c>
      <c r="AK108" s="464">
        <f t="shared" ref="AK108:AK127" si="75">IF($U108="","",IF($W$102=0,"",AJ108/$W$102))</f>
        <v>0.25</v>
      </c>
    </row>
    <row r="109" spans="1:37">
      <c r="A109" s="461">
        <f t="shared" si="56"/>
        <v>2</v>
      </c>
      <c r="B109" s="462" t="str">
        <f t="shared" si="57"/>
        <v>181</v>
      </c>
      <c r="C109" s="462" t="str">
        <f t="shared" si="57"/>
        <v>Vega Vendetta</v>
      </c>
      <c r="D109" s="463">
        <f ca="1">IF($B109="","",SUMPRODUCT(--(Lineups!F$88:F$163=$B109),--(Lineups!B$88:B$163="")))</f>
        <v>0</v>
      </c>
      <c r="E109" s="465">
        <f t="shared" si="58"/>
        <v>0</v>
      </c>
      <c r="F109" s="472">
        <f ca="1">IF($B109="","",SUMPRODUCT(--(Lineups!F$88:F$163=$B109),--(Lineups!B$88:B$163="X")))</f>
        <v>0</v>
      </c>
      <c r="G109" s="472">
        <f ca="1">IF($B109="","",SUMPRODUCT(--(Lineups!I$88:I$163=$B109),--(Lineups!A$88:A$163&lt;&gt;"SP")))</f>
        <v>4</v>
      </c>
      <c r="H109" s="472">
        <f ca="1">IF($B109="","",SUMPRODUCT(--(Lineups!L$88:L$163=$B109),--(Lineups!A$88:A$163&lt;&gt;"SP")))</f>
        <v>1</v>
      </c>
      <c r="I109" s="472">
        <f ca="1">IF($B109="","",SUMPRODUCT(--(Lineups!O$88:O$163=$B109),--(Lineups!A$88:A$163&lt;&gt;"SP")))</f>
        <v>2</v>
      </c>
      <c r="J109" s="463">
        <f t="shared" si="59"/>
        <v>7</v>
      </c>
      <c r="K109" s="465">
        <f t="shared" si="60"/>
        <v>0.35</v>
      </c>
      <c r="L109" s="463">
        <f t="shared" si="61"/>
        <v>7</v>
      </c>
      <c r="M109" s="465">
        <f t="shared" si="62"/>
        <v>0.35</v>
      </c>
      <c r="N109" s="470" t="str">
        <f ca="1">IF(B109="","",IF(OR(SK!E176="",SK!E176=0),"",SK!H176))</f>
        <v/>
      </c>
      <c r="O109" s="463">
        <f ca="1">IF($B109="","",SUMPRODUCT(--(Lineups!C$88:C$163=$B109)))</f>
        <v>0</v>
      </c>
      <c r="P109" s="465">
        <f t="shared" si="63"/>
        <v>0</v>
      </c>
      <c r="Q109" s="463">
        <f t="shared" si="64"/>
        <v>7</v>
      </c>
      <c r="R109" s="465">
        <f t="shared" si="65"/>
        <v>0.35</v>
      </c>
      <c r="T109" s="461">
        <f t="shared" si="66"/>
        <v>2</v>
      </c>
      <c r="U109" s="462" t="str">
        <f t="shared" si="67"/>
        <v>2¢</v>
      </c>
      <c r="V109" s="462" t="str">
        <f t="shared" si="67"/>
        <v>Vera Toss</v>
      </c>
      <c r="W109" s="463">
        <f ca="1">IF($U109="","",SUMPRODUCT(--(Lineups!AB$88:AB$163=$U109),--(Lineups!X$88:X$163="")))</f>
        <v>0</v>
      </c>
      <c r="X109" s="465">
        <f t="shared" si="68"/>
        <v>0</v>
      </c>
      <c r="Y109" s="472">
        <f ca="1">IF($U109="","",SUMPRODUCT(--(Lineups!AB$88:AB$163=$U109),--(Lineups!X$88:X$163="X")))</f>
        <v>0</v>
      </c>
      <c r="Z109" s="472">
        <f ca="1">IF($U109="","",SUMPRODUCT(--(Lineups!AE$88:AE$163=$U109),--(Lineups!W$88:W$163&lt;&gt;"SP")))</f>
        <v>2</v>
      </c>
      <c r="AA109" s="472">
        <f ca="1">IF($U109="","",SUMPRODUCT(--(Lineups!AH$88:AH$163=$U109),--(Lineups!W$88:W$163&lt;&gt;"SP")))</f>
        <v>1</v>
      </c>
      <c r="AB109" s="472">
        <f ca="1">IF($U109="","",SUMPRODUCT(--(Lineups!AK$88:AK$163=$U109),--(Lineups!W$88:W$163&lt;&gt;"SP")))</f>
        <v>4</v>
      </c>
      <c r="AC109" s="463">
        <f t="shared" si="69"/>
        <v>7</v>
      </c>
      <c r="AD109" s="465">
        <f t="shared" si="70"/>
        <v>0.35</v>
      </c>
      <c r="AE109" s="463">
        <f t="shared" si="71"/>
        <v>7</v>
      </c>
      <c r="AF109" s="465">
        <f t="shared" si="72"/>
        <v>0.35</v>
      </c>
      <c r="AG109" s="470" t="str">
        <f ca="1">IF(U109="","",IF(OR(SK!U176="",SK!U176=0),"",SK!X176))</f>
        <v/>
      </c>
      <c r="AH109" s="463">
        <f ca="1">IF($U109="","",SUMPRODUCT(--(Lineups!Y$88:Y$163=$U109)))</f>
        <v>0</v>
      </c>
      <c r="AI109" s="465">
        <f t="shared" si="73"/>
        <v>0</v>
      </c>
      <c r="AJ109" s="463">
        <f t="shared" si="74"/>
        <v>7</v>
      </c>
      <c r="AK109" s="465">
        <f t="shared" si="75"/>
        <v>0.35</v>
      </c>
    </row>
    <row r="110" spans="1:37">
      <c r="A110" s="94">
        <f t="shared" si="56"/>
        <v>3</v>
      </c>
      <c r="B110" s="270" t="str">
        <f t="shared" si="57"/>
        <v>1821</v>
      </c>
      <c r="C110" s="270" t="str">
        <f t="shared" si="57"/>
        <v>Mexi-Go</v>
      </c>
      <c r="D110" s="20">
        <f ca="1">IF($B110="","",SUMPRODUCT(--(Lineups!F$88:F$163=$B110),--(Lineups!B$88:B$163="")))</f>
        <v>0</v>
      </c>
      <c r="E110" s="464">
        <f t="shared" si="58"/>
        <v>0</v>
      </c>
      <c r="F110" s="472">
        <f ca="1">IF($B110="","",SUMPRODUCT(--(Lineups!F$88:F$163=$B110),--(Lineups!B$88:B$163="X")))</f>
        <v>0</v>
      </c>
      <c r="G110" s="472">
        <f ca="1">IF($B110="","",SUMPRODUCT(--(Lineups!I$88:I$163=$B110),--(Lineups!A$88:A$163&lt;&gt;"SP")))</f>
        <v>2</v>
      </c>
      <c r="H110" s="472">
        <f ca="1">IF($B110="","",SUMPRODUCT(--(Lineups!L$88:L$163=$B110),--(Lineups!A$88:A$163&lt;&gt;"SP")))</f>
        <v>2</v>
      </c>
      <c r="I110" s="472">
        <f ca="1">IF($B110="","",SUMPRODUCT(--(Lineups!O$88:O$163=$B110),--(Lineups!A$88:A$163&lt;&gt;"SP")))</f>
        <v>5</v>
      </c>
      <c r="J110" s="20">
        <f t="shared" si="59"/>
        <v>9</v>
      </c>
      <c r="K110" s="464">
        <f t="shared" si="60"/>
        <v>0.45</v>
      </c>
      <c r="L110" s="20">
        <f t="shared" si="61"/>
        <v>9</v>
      </c>
      <c r="M110" s="464">
        <f t="shared" si="62"/>
        <v>0.45</v>
      </c>
      <c r="N110" s="469" t="str">
        <f ca="1">IF(B110="","",IF(OR(SK!E179="",SK!E179=0),"",SK!H179))</f>
        <v/>
      </c>
      <c r="O110" s="20">
        <f ca="1">IF($B110="","",SUMPRODUCT(--(Lineups!C$88:C$163=$B110)))</f>
        <v>0</v>
      </c>
      <c r="P110" s="464">
        <f t="shared" si="63"/>
        <v>0</v>
      </c>
      <c r="Q110" s="20">
        <f t="shared" si="64"/>
        <v>9</v>
      </c>
      <c r="R110" s="464">
        <f t="shared" si="65"/>
        <v>0.45</v>
      </c>
      <c r="T110" s="94">
        <f t="shared" si="66"/>
        <v>3</v>
      </c>
      <c r="U110" s="270" t="str">
        <f t="shared" si="67"/>
        <v>24/7</v>
      </c>
      <c r="V110" s="270" t="str">
        <f t="shared" si="67"/>
        <v>boo d. livers</v>
      </c>
      <c r="W110" s="20">
        <f ca="1">IF($U110="","",SUMPRODUCT(--(Lineups!AB$88:AB$163=$U110),--(Lineups!X$88:X$163="")))</f>
        <v>0</v>
      </c>
      <c r="X110" s="464">
        <f t="shared" si="68"/>
        <v>0</v>
      </c>
      <c r="Y110" s="472">
        <f ca="1">IF($U110="","",SUMPRODUCT(--(Lineups!AB$88:AB$163=$U110),--(Lineups!X$88:X$163="X")))</f>
        <v>0</v>
      </c>
      <c r="Z110" s="472">
        <f ca="1">IF($U110="","",SUMPRODUCT(--(Lineups!AE$88:AE$163=$U110),--(Lineups!W$88:W$163&lt;&gt;"SP")))</f>
        <v>6</v>
      </c>
      <c r="AA110" s="472">
        <f ca="1">IF($U110="","",SUMPRODUCT(--(Lineups!AH$88:AH$163=$U110),--(Lineups!W$88:W$163&lt;&gt;"SP")))</f>
        <v>2</v>
      </c>
      <c r="AB110" s="472">
        <f ca="1">IF($U110="","",SUMPRODUCT(--(Lineups!AK$88:AK$163=$U110),--(Lineups!W$88:W$163&lt;&gt;"SP")))</f>
        <v>2</v>
      </c>
      <c r="AC110" s="20">
        <f t="shared" si="69"/>
        <v>10</v>
      </c>
      <c r="AD110" s="464">
        <f t="shared" si="70"/>
        <v>0.5</v>
      </c>
      <c r="AE110" s="20">
        <f t="shared" si="71"/>
        <v>10</v>
      </c>
      <c r="AF110" s="464">
        <f t="shared" si="72"/>
        <v>0.5</v>
      </c>
      <c r="AG110" s="469" t="str">
        <f ca="1">IF(U110="","",IF(OR(SK!U179="",SK!U179=0),"",SK!X179))</f>
        <v/>
      </c>
      <c r="AH110" s="20">
        <f ca="1">IF($U110="","",SUMPRODUCT(--(Lineups!Y$88:Y$163=$U110)))</f>
        <v>0</v>
      </c>
      <c r="AI110" s="464">
        <f t="shared" si="73"/>
        <v>0</v>
      </c>
      <c r="AJ110" s="20">
        <f t="shared" si="74"/>
        <v>10</v>
      </c>
      <c r="AK110" s="464">
        <f t="shared" si="75"/>
        <v>0.5</v>
      </c>
    </row>
    <row r="111" spans="1:37">
      <c r="A111" s="461">
        <f t="shared" si="56"/>
        <v>4</v>
      </c>
      <c r="B111" s="462" t="str">
        <f t="shared" si="57"/>
        <v>187</v>
      </c>
      <c r="C111" s="462" t="str">
        <f t="shared" si="57"/>
        <v>VeroniKILL</v>
      </c>
      <c r="D111" s="463">
        <f ca="1">IF($B111="","",SUMPRODUCT(--(Lineups!F$88:F$163=$B111),--(Lineups!B$88:B$163="")))</f>
        <v>0</v>
      </c>
      <c r="E111" s="465">
        <f t="shared" si="58"/>
        <v>0</v>
      </c>
      <c r="F111" s="472">
        <f ca="1">IF($B111="","",SUMPRODUCT(--(Lineups!F$88:F$163=$B111),--(Lineups!B$88:B$163="X")))</f>
        <v>0</v>
      </c>
      <c r="G111" s="472">
        <f ca="1">IF($B111="","",SUMPRODUCT(--(Lineups!I$88:I$163=$B111),--(Lineups!A$88:A$163&lt;&gt;"SP")))</f>
        <v>2</v>
      </c>
      <c r="H111" s="472">
        <f ca="1">IF($B111="","",SUMPRODUCT(--(Lineups!L$88:L$163=$B111),--(Lineups!A$88:A$163&lt;&gt;"SP")))</f>
        <v>2</v>
      </c>
      <c r="I111" s="472">
        <f ca="1">IF($B111="","",SUMPRODUCT(--(Lineups!O$88:O$163=$B111),--(Lineups!A$88:A$163&lt;&gt;"SP")))</f>
        <v>3</v>
      </c>
      <c r="J111" s="463">
        <f t="shared" si="59"/>
        <v>7</v>
      </c>
      <c r="K111" s="465">
        <f t="shared" si="60"/>
        <v>0.35</v>
      </c>
      <c r="L111" s="463">
        <f t="shared" si="61"/>
        <v>7</v>
      </c>
      <c r="M111" s="465">
        <f t="shared" si="62"/>
        <v>0.35</v>
      </c>
      <c r="N111" s="470" t="str">
        <f ca="1">IF(B111="","",IF(OR(SK!E182="",SK!E182=0),"",SK!H182))</f>
        <v/>
      </c>
      <c r="O111" s="463">
        <f ca="1">IF($B111="","",SUMPRODUCT(--(Lineups!C$88:C$163=$B111)))</f>
        <v>0</v>
      </c>
      <c r="P111" s="465">
        <f t="shared" si="63"/>
        <v>0</v>
      </c>
      <c r="Q111" s="463">
        <f t="shared" si="64"/>
        <v>7</v>
      </c>
      <c r="R111" s="465">
        <f t="shared" si="65"/>
        <v>0.35</v>
      </c>
      <c r="T111" s="461">
        <f t="shared" si="66"/>
        <v>4</v>
      </c>
      <c r="U111" s="462" t="str">
        <f t="shared" si="67"/>
        <v>27</v>
      </c>
      <c r="V111" s="462" t="str">
        <f t="shared" si="67"/>
        <v>A.O. Lesgo</v>
      </c>
      <c r="W111" s="463">
        <f ca="1">IF($U111="","",SUMPRODUCT(--(Lineups!AB$88:AB$163=$U111),--(Lineups!X$88:X$163="")))</f>
        <v>0</v>
      </c>
      <c r="X111" s="465">
        <f t="shared" si="68"/>
        <v>0</v>
      </c>
      <c r="Y111" s="472">
        <f ca="1">IF($U111="","",SUMPRODUCT(--(Lineups!AB$88:AB$163=$U111),--(Lineups!X$88:X$163="X")))</f>
        <v>0</v>
      </c>
      <c r="Z111" s="472">
        <f ca="1">IF($U111="","",SUMPRODUCT(--(Lineups!AE$88:AE$163=$U111),--(Lineups!W$88:W$163&lt;&gt;"SP")))</f>
        <v>1</v>
      </c>
      <c r="AA111" s="472">
        <f ca="1">IF($U111="","",SUMPRODUCT(--(Lineups!AH$88:AH$163=$U111),--(Lineups!W$88:W$163&lt;&gt;"SP")))</f>
        <v>4</v>
      </c>
      <c r="AB111" s="472">
        <f ca="1">IF($U111="","",SUMPRODUCT(--(Lineups!AK$88:AK$163=$U111),--(Lineups!W$88:W$163&lt;&gt;"SP")))</f>
        <v>1</v>
      </c>
      <c r="AC111" s="463">
        <f t="shared" si="69"/>
        <v>6</v>
      </c>
      <c r="AD111" s="465">
        <f t="shared" si="70"/>
        <v>0.3</v>
      </c>
      <c r="AE111" s="463">
        <f t="shared" si="71"/>
        <v>6</v>
      </c>
      <c r="AF111" s="465">
        <f t="shared" si="72"/>
        <v>0.3</v>
      </c>
      <c r="AG111" s="470" t="str">
        <f ca="1">IF(U111="","",IF(OR(SK!U182="",SK!U182=0),"",SK!X182))</f>
        <v/>
      </c>
      <c r="AH111" s="463">
        <f ca="1">IF($U111="","",SUMPRODUCT(--(Lineups!Y$88:Y$163=$U111)))</f>
        <v>0</v>
      </c>
      <c r="AI111" s="465">
        <f t="shared" si="73"/>
        <v>0</v>
      </c>
      <c r="AJ111" s="463">
        <f t="shared" si="74"/>
        <v>6</v>
      </c>
      <c r="AK111" s="465">
        <f t="shared" si="75"/>
        <v>0.3</v>
      </c>
    </row>
    <row r="112" spans="1:37">
      <c r="A112" s="94">
        <f t="shared" si="56"/>
        <v>5</v>
      </c>
      <c r="B112" s="270" t="str">
        <f t="shared" si="57"/>
        <v>1879</v>
      </c>
      <c r="C112" s="270" t="str">
        <f t="shared" si="57"/>
        <v>Belle Isle Hurtya</v>
      </c>
      <c r="D112" s="20">
        <f ca="1">IF($B112="","",SUMPRODUCT(--(Lineups!F$88:F$163=$B112),--(Lineups!B$88:B$163="")))</f>
        <v>0</v>
      </c>
      <c r="E112" s="464">
        <f t="shared" si="58"/>
        <v>0</v>
      </c>
      <c r="F112" s="472">
        <f ca="1">IF($B112="","",SUMPRODUCT(--(Lineups!F$88:F$163=$B112),--(Lineups!B$88:B$163="X")))</f>
        <v>1</v>
      </c>
      <c r="G112" s="472">
        <f ca="1">IF($B112="","",SUMPRODUCT(--(Lineups!I$88:I$163=$B112),--(Lineups!A$88:A$163&lt;&gt;"SP")))</f>
        <v>0</v>
      </c>
      <c r="H112" s="472">
        <f ca="1">IF($B112="","",SUMPRODUCT(--(Lineups!L$88:L$163=$B112),--(Lineups!A$88:A$163&lt;&gt;"SP")))</f>
        <v>1</v>
      </c>
      <c r="I112" s="472">
        <f ca="1">IF($B112="","",SUMPRODUCT(--(Lineups!O$88:O$163=$B112),--(Lineups!A$88:A$163&lt;&gt;"SP")))</f>
        <v>0</v>
      </c>
      <c r="J112" s="20">
        <f t="shared" si="59"/>
        <v>2</v>
      </c>
      <c r="K112" s="464">
        <f t="shared" si="60"/>
        <v>0.1</v>
      </c>
      <c r="L112" s="20">
        <f t="shared" si="61"/>
        <v>2</v>
      </c>
      <c r="M112" s="464">
        <f t="shared" si="62"/>
        <v>0.1</v>
      </c>
      <c r="N112" s="469" t="str">
        <f ca="1">IF(B112="","",IF(OR(SK!E185="",SK!E185=0),"",SK!H185))</f>
        <v/>
      </c>
      <c r="O112" s="20">
        <f ca="1">IF($B112="","",SUMPRODUCT(--(Lineups!C$88:C$163=$B112)))</f>
        <v>0</v>
      </c>
      <c r="P112" s="464">
        <f t="shared" si="63"/>
        <v>0</v>
      </c>
      <c r="Q112" s="20">
        <f t="shared" si="64"/>
        <v>2</v>
      </c>
      <c r="R112" s="464">
        <f t="shared" si="65"/>
        <v>0.1</v>
      </c>
      <c r="T112" s="94">
        <f t="shared" si="66"/>
        <v>5</v>
      </c>
      <c r="U112" s="270" t="str">
        <f t="shared" si="67"/>
        <v>38DD</v>
      </c>
      <c r="V112" s="270" t="str">
        <f t="shared" si="67"/>
        <v>Tig O' Hitties</v>
      </c>
      <c r="W112" s="20">
        <f ca="1">IF($U112="","",SUMPRODUCT(--(Lineups!AB$88:AB$163=$U112),--(Lineups!X$88:X$163="")))</f>
        <v>0</v>
      </c>
      <c r="X112" s="464">
        <f t="shared" si="68"/>
        <v>0</v>
      </c>
      <c r="Y112" s="472">
        <f ca="1">IF($U112="","",SUMPRODUCT(--(Lineups!AB$88:AB$163=$U112),--(Lineups!X$88:X$163="X")))</f>
        <v>0</v>
      </c>
      <c r="Z112" s="472">
        <f ca="1">IF($U112="","",SUMPRODUCT(--(Lineups!AE$88:AE$163=$U112),--(Lineups!W$88:W$163&lt;&gt;"SP")))</f>
        <v>2</v>
      </c>
      <c r="AA112" s="472">
        <f ca="1">IF($U112="","",SUMPRODUCT(--(Lineups!AH$88:AH$163=$U112),--(Lineups!W$88:W$163&lt;&gt;"SP")))</f>
        <v>3</v>
      </c>
      <c r="AB112" s="472">
        <f ca="1">IF($U112="","",SUMPRODUCT(--(Lineups!AK$88:AK$163=$U112),--(Lineups!W$88:W$163&lt;&gt;"SP")))</f>
        <v>1</v>
      </c>
      <c r="AC112" s="20">
        <f t="shared" si="69"/>
        <v>6</v>
      </c>
      <c r="AD112" s="464">
        <f t="shared" si="70"/>
        <v>0.3</v>
      </c>
      <c r="AE112" s="20">
        <f t="shared" si="71"/>
        <v>6</v>
      </c>
      <c r="AF112" s="464">
        <f t="shared" si="72"/>
        <v>0.3</v>
      </c>
      <c r="AG112" s="469" t="str">
        <f ca="1">IF(U112="","",IF(OR(SK!U185="",SK!U185=0),"",SK!X185))</f>
        <v/>
      </c>
      <c r="AH112" s="20">
        <f ca="1">IF($U112="","",SUMPRODUCT(--(Lineups!Y$88:Y$163=$U112)))</f>
        <v>0</v>
      </c>
      <c r="AI112" s="464">
        <f t="shared" si="73"/>
        <v>0</v>
      </c>
      <c r="AJ112" s="20">
        <f t="shared" si="74"/>
        <v>6</v>
      </c>
      <c r="AK112" s="464">
        <f t="shared" si="75"/>
        <v>0.3</v>
      </c>
    </row>
    <row r="113" spans="1:37">
      <c r="A113" s="461">
        <f t="shared" si="56"/>
        <v>6</v>
      </c>
      <c r="B113" s="462" t="str">
        <f t="shared" si="57"/>
        <v>20</v>
      </c>
      <c r="C113" s="462" t="str">
        <f t="shared" si="57"/>
        <v>Devil Kitty</v>
      </c>
      <c r="D113" s="463">
        <f ca="1">IF($B113="","",SUMPRODUCT(--(Lineups!F$88:F$163=$B113),--(Lineups!B$88:B$163="")))</f>
        <v>7</v>
      </c>
      <c r="E113" s="465">
        <f t="shared" si="58"/>
        <v>0.35</v>
      </c>
      <c r="F113" s="472">
        <f ca="1">IF($B113="","",SUMPRODUCT(--(Lineups!F$88:F$163=$B113),--(Lineups!B$88:B$163="X")))</f>
        <v>0</v>
      </c>
      <c r="G113" s="472">
        <f ca="1">IF($B113="","",SUMPRODUCT(--(Lineups!I$88:I$163=$B113),--(Lineups!A$88:A$163&lt;&gt;"SP")))</f>
        <v>1</v>
      </c>
      <c r="H113" s="472">
        <f ca="1">IF($B113="","",SUMPRODUCT(--(Lineups!L$88:L$163=$B113),--(Lineups!A$88:A$163&lt;&gt;"SP")))</f>
        <v>0</v>
      </c>
      <c r="I113" s="472">
        <f ca="1">IF($B113="","",SUMPRODUCT(--(Lineups!O$88:O$163=$B113),--(Lineups!A$88:A$163&lt;&gt;"SP")))</f>
        <v>1</v>
      </c>
      <c r="J113" s="463">
        <f t="shared" si="59"/>
        <v>2</v>
      </c>
      <c r="K113" s="465">
        <f t="shared" si="60"/>
        <v>0.1</v>
      </c>
      <c r="L113" s="463">
        <f t="shared" si="61"/>
        <v>9</v>
      </c>
      <c r="M113" s="465">
        <f t="shared" si="62"/>
        <v>0.45</v>
      </c>
      <c r="N113" s="470" t="str">
        <f ca="1">IF(B113="","",IF(OR(SK!E188="",SK!E188=0),"",SK!H188))</f>
        <v/>
      </c>
      <c r="O113" s="463">
        <f ca="1">IF($B113="","",SUMPRODUCT(--(Lineups!C$88:C$163=$B113)))</f>
        <v>0</v>
      </c>
      <c r="P113" s="465">
        <f t="shared" si="63"/>
        <v>0</v>
      </c>
      <c r="Q113" s="463">
        <f t="shared" si="64"/>
        <v>9</v>
      </c>
      <c r="R113" s="465">
        <f t="shared" si="65"/>
        <v>0.45</v>
      </c>
      <c r="T113" s="461">
        <f t="shared" si="66"/>
        <v>6</v>
      </c>
      <c r="U113" s="462" t="str">
        <f t="shared" si="67"/>
        <v>42</v>
      </c>
      <c r="V113" s="462" t="str">
        <f t="shared" si="67"/>
        <v>Midnite Vulture</v>
      </c>
      <c r="W113" s="463">
        <f ca="1">IF($U113="","",SUMPRODUCT(--(Lineups!AB$88:AB$163=$U113),--(Lineups!X$88:X$163="")))</f>
        <v>0</v>
      </c>
      <c r="X113" s="465">
        <f t="shared" si="68"/>
        <v>0</v>
      </c>
      <c r="Y113" s="472">
        <f ca="1">IF($U113="","",SUMPRODUCT(--(Lineups!AB$88:AB$163=$U113),--(Lineups!X$88:X$163="X")))</f>
        <v>0</v>
      </c>
      <c r="Z113" s="472">
        <f ca="1">IF($U113="","",SUMPRODUCT(--(Lineups!AE$88:AE$163=$U113),--(Lineups!W$88:W$163&lt;&gt;"SP")))</f>
        <v>2</v>
      </c>
      <c r="AA113" s="472">
        <f ca="1">IF($U113="","",SUMPRODUCT(--(Lineups!AH$88:AH$163=$U113),--(Lineups!W$88:W$163&lt;&gt;"SP")))</f>
        <v>0</v>
      </c>
      <c r="AB113" s="472">
        <f ca="1">IF($U113="","",SUMPRODUCT(--(Lineups!AK$88:AK$163=$U113),--(Lineups!W$88:W$163&lt;&gt;"SP")))</f>
        <v>1</v>
      </c>
      <c r="AC113" s="463">
        <f t="shared" si="69"/>
        <v>3</v>
      </c>
      <c r="AD113" s="465">
        <f t="shared" si="70"/>
        <v>0.15</v>
      </c>
      <c r="AE113" s="463">
        <f t="shared" si="71"/>
        <v>3</v>
      </c>
      <c r="AF113" s="465">
        <f t="shared" si="72"/>
        <v>0.15</v>
      </c>
      <c r="AG113" s="470" t="str">
        <f ca="1">IF(U113="","",IF(OR(SK!U188="",SK!U188=0),"",SK!X188))</f>
        <v/>
      </c>
      <c r="AH113" s="463">
        <f ca="1">IF($U113="","",SUMPRODUCT(--(Lineups!Y$88:Y$163=$U113)))</f>
        <v>0</v>
      </c>
      <c r="AI113" s="465">
        <f t="shared" si="73"/>
        <v>0</v>
      </c>
      <c r="AJ113" s="463">
        <f t="shared" si="74"/>
        <v>3</v>
      </c>
      <c r="AK113" s="465">
        <f t="shared" si="75"/>
        <v>0.15</v>
      </c>
    </row>
    <row r="114" spans="1:37">
      <c r="A114" s="94">
        <f t="shared" si="56"/>
        <v>7</v>
      </c>
      <c r="B114" s="270" t="str">
        <f t="shared" si="57"/>
        <v>20KN</v>
      </c>
      <c r="C114" s="270" t="str">
        <f t="shared" si="57"/>
        <v>Kraken Whips</v>
      </c>
      <c r="D114" s="20">
        <f ca="1">IF($B114="","",SUMPRODUCT(--(Lineups!F$88:F$163=$B114),--(Lineups!B$88:B$163="")))</f>
        <v>0</v>
      </c>
      <c r="E114" s="464">
        <f t="shared" si="58"/>
        <v>0</v>
      </c>
      <c r="F114" s="472">
        <f ca="1">IF($B114="","",SUMPRODUCT(--(Lineups!F$88:F$163=$B114),--(Lineups!B$88:B$163="X")))</f>
        <v>0</v>
      </c>
      <c r="G114" s="472">
        <f ca="1">IF($B114="","",SUMPRODUCT(--(Lineups!I$88:I$163=$B114),--(Lineups!A$88:A$163&lt;&gt;"SP")))</f>
        <v>3</v>
      </c>
      <c r="H114" s="472">
        <f ca="1">IF($B114="","",SUMPRODUCT(--(Lineups!L$88:L$163=$B114),--(Lineups!A$88:A$163&lt;&gt;"SP")))</f>
        <v>2</v>
      </c>
      <c r="I114" s="472">
        <f ca="1">IF($B114="","",SUMPRODUCT(--(Lineups!O$88:O$163=$B114),--(Lineups!A$88:A$163&lt;&gt;"SP")))</f>
        <v>0</v>
      </c>
      <c r="J114" s="20">
        <f t="shared" si="59"/>
        <v>5</v>
      </c>
      <c r="K114" s="464">
        <f t="shared" si="60"/>
        <v>0.25</v>
      </c>
      <c r="L114" s="20">
        <f t="shared" si="61"/>
        <v>5</v>
      </c>
      <c r="M114" s="464">
        <f t="shared" si="62"/>
        <v>0.25</v>
      </c>
      <c r="N114" s="469" t="str">
        <f ca="1">IF(B114="","",IF(OR(SK!E191="",SK!E191=0),"",SK!H191))</f>
        <v/>
      </c>
      <c r="O114" s="20">
        <f ca="1">IF($B114="","",SUMPRODUCT(--(Lineups!C$88:C$163=$B114)))</f>
        <v>0</v>
      </c>
      <c r="P114" s="464">
        <f t="shared" si="63"/>
        <v>0</v>
      </c>
      <c r="Q114" s="20">
        <f t="shared" si="64"/>
        <v>5</v>
      </c>
      <c r="R114" s="464">
        <f t="shared" si="65"/>
        <v>0.25</v>
      </c>
      <c r="T114" s="94">
        <f t="shared" si="66"/>
        <v>7</v>
      </c>
      <c r="U114" s="270" t="str">
        <f t="shared" si="67"/>
        <v>50</v>
      </c>
      <c r="V114" s="270" t="str">
        <f t="shared" si="67"/>
        <v>Sam-I-Slam</v>
      </c>
      <c r="W114" s="20">
        <f ca="1">IF($U114="","",SUMPRODUCT(--(Lineups!AB$88:AB$163=$U114),--(Lineups!X$88:X$163="")))</f>
        <v>0</v>
      </c>
      <c r="X114" s="464">
        <f t="shared" si="68"/>
        <v>0</v>
      </c>
      <c r="Y114" s="472">
        <f ca="1">IF($U114="","",SUMPRODUCT(--(Lineups!AB$88:AB$163=$U114),--(Lineups!X$88:X$163="X")))</f>
        <v>0</v>
      </c>
      <c r="Z114" s="472">
        <f ca="1">IF($U114="","",SUMPRODUCT(--(Lineups!AE$88:AE$163=$U114),--(Lineups!W$88:W$163&lt;&gt;"SP")))</f>
        <v>0</v>
      </c>
      <c r="AA114" s="472">
        <f ca="1">IF($U114="","",SUMPRODUCT(--(Lineups!AH$88:AH$163=$U114),--(Lineups!W$88:W$163&lt;&gt;"SP")))</f>
        <v>0</v>
      </c>
      <c r="AB114" s="472">
        <f ca="1">IF($U114="","",SUMPRODUCT(--(Lineups!AK$88:AK$163=$U114),--(Lineups!W$88:W$163&lt;&gt;"SP")))</f>
        <v>0</v>
      </c>
      <c r="AC114" s="20">
        <f t="shared" si="69"/>
        <v>0</v>
      </c>
      <c r="AD114" s="464">
        <f t="shared" si="70"/>
        <v>0</v>
      </c>
      <c r="AE114" s="20">
        <f t="shared" si="71"/>
        <v>0</v>
      </c>
      <c r="AF114" s="464">
        <f t="shared" si="72"/>
        <v>0</v>
      </c>
      <c r="AG114" s="469">
        <f ca="1">IF(U114="","",IF(OR(SK!U191="",SK!U191=0),"",SK!X191))</f>
        <v>4</v>
      </c>
      <c r="AH114" s="20">
        <f ca="1">IF($U114="","",SUMPRODUCT(--(Lineups!Y$88:Y$163=$U114)))</f>
        <v>6</v>
      </c>
      <c r="AI114" s="464">
        <f t="shared" si="73"/>
        <v>0.3</v>
      </c>
      <c r="AJ114" s="20">
        <f t="shared" si="74"/>
        <v>6</v>
      </c>
      <c r="AK114" s="464">
        <f t="shared" si="75"/>
        <v>0.3</v>
      </c>
    </row>
    <row r="115" spans="1:37">
      <c r="A115" s="461">
        <f t="shared" si="56"/>
        <v>8</v>
      </c>
      <c r="B115" s="462" t="str">
        <f t="shared" si="57"/>
        <v>212</v>
      </c>
      <c r="C115" s="462" t="str">
        <f t="shared" si="57"/>
        <v>Wham!tramck</v>
      </c>
      <c r="D115" s="463">
        <f ca="1">IF($B115="","",SUMPRODUCT(--(Lineups!F$88:F$163=$B115),--(Lineups!B$88:B$163="")))</f>
        <v>0</v>
      </c>
      <c r="E115" s="465">
        <f t="shared" si="58"/>
        <v>0</v>
      </c>
      <c r="F115" s="472">
        <f ca="1">IF($B115="","",SUMPRODUCT(--(Lineups!F$88:F$163=$B115),--(Lineups!B$88:B$163="X")))</f>
        <v>0</v>
      </c>
      <c r="G115" s="472">
        <f ca="1">IF($B115="","",SUMPRODUCT(--(Lineups!I$88:I$163=$B115),--(Lineups!A$88:A$163&lt;&gt;"SP")))</f>
        <v>1</v>
      </c>
      <c r="H115" s="472">
        <f ca="1">IF($B115="","",SUMPRODUCT(--(Lineups!L$88:L$163=$B115),--(Lineups!A$88:A$163&lt;&gt;"SP")))</f>
        <v>2</v>
      </c>
      <c r="I115" s="472">
        <f ca="1">IF($B115="","",SUMPRODUCT(--(Lineups!O$88:O$163=$B115),--(Lineups!A$88:A$163&lt;&gt;"SP")))</f>
        <v>3</v>
      </c>
      <c r="J115" s="463">
        <f t="shared" si="59"/>
        <v>6</v>
      </c>
      <c r="K115" s="465">
        <f t="shared" si="60"/>
        <v>0.3</v>
      </c>
      <c r="L115" s="463">
        <f t="shared" si="61"/>
        <v>6</v>
      </c>
      <c r="M115" s="465">
        <f t="shared" si="62"/>
        <v>0.3</v>
      </c>
      <c r="N115" s="470" t="str">
        <f ca="1">IF(B115="","",IF(OR(SK!E194="",SK!E194=0),"",SK!H194))</f>
        <v/>
      </c>
      <c r="O115" s="463">
        <f ca="1">IF($B115="","",SUMPRODUCT(--(Lineups!C$88:C$163=$B115)))</f>
        <v>0</v>
      </c>
      <c r="P115" s="465">
        <f t="shared" si="63"/>
        <v>0</v>
      </c>
      <c r="Q115" s="463">
        <f t="shared" si="64"/>
        <v>6</v>
      </c>
      <c r="R115" s="465">
        <f t="shared" si="65"/>
        <v>0.3</v>
      </c>
      <c r="T115" s="461">
        <f t="shared" si="66"/>
        <v>8</v>
      </c>
      <c r="U115" s="462" t="str">
        <f t="shared" si="67"/>
        <v>620</v>
      </c>
      <c r="V115" s="462" t="str">
        <f t="shared" si="67"/>
        <v>Lazer Beam</v>
      </c>
      <c r="W115" s="463">
        <f ca="1">IF($U115="","",SUMPRODUCT(--(Lineups!AB$88:AB$163=$U115),--(Lineups!X$88:X$163="")))</f>
        <v>0</v>
      </c>
      <c r="X115" s="465">
        <f t="shared" si="68"/>
        <v>0</v>
      </c>
      <c r="Y115" s="472">
        <f ca="1">IF($U115="","",SUMPRODUCT(--(Lineups!AB$88:AB$163=$U115),--(Lineups!X$88:X$163="X")))</f>
        <v>0</v>
      </c>
      <c r="Z115" s="472">
        <f ca="1">IF($U115="","",SUMPRODUCT(--(Lineups!AE$88:AE$163=$U115),--(Lineups!W$88:W$163&lt;&gt;"SP")))</f>
        <v>0</v>
      </c>
      <c r="AA115" s="472">
        <f ca="1">IF($U115="","",SUMPRODUCT(--(Lineups!AH$88:AH$163=$U115),--(Lineups!W$88:W$163&lt;&gt;"SP")))</f>
        <v>0</v>
      </c>
      <c r="AB115" s="472">
        <f ca="1">IF($U115="","",SUMPRODUCT(--(Lineups!AK$88:AK$163=$U115),--(Lineups!W$88:W$163&lt;&gt;"SP")))</f>
        <v>0</v>
      </c>
      <c r="AC115" s="463">
        <f t="shared" si="69"/>
        <v>0</v>
      </c>
      <c r="AD115" s="465">
        <f t="shared" si="70"/>
        <v>0</v>
      </c>
      <c r="AE115" s="463">
        <f t="shared" si="71"/>
        <v>0</v>
      </c>
      <c r="AF115" s="465">
        <f t="shared" si="72"/>
        <v>0</v>
      </c>
      <c r="AG115" s="470">
        <f ca="1">IF(U115="","",IF(OR(SK!U194="",SK!U194=0),"",SK!X194))</f>
        <v>5</v>
      </c>
      <c r="AH115" s="463">
        <f ca="1">IF($U115="","",SUMPRODUCT(--(Lineups!Y$88:Y$163=$U115)))</f>
        <v>8</v>
      </c>
      <c r="AI115" s="465">
        <f t="shared" si="73"/>
        <v>0.4</v>
      </c>
      <c r="AJ115" s="463">
        <f t="shared" si="74"/>
        <v>8</v>
      </c>
      <c r="AK115" s="465">
        <f t="shared" si="75"/>
        <v>0.4</v>
      </c>
    </row>
    <row r="116" spans="1:37">
      <c r="A116" s="94">
        <f t="shared" si="56"/>
        <v>9</v>
      </c>
      <c r="B116" s="270" t="str">
        <f t="shared" si="57"/>
        <v>33 1/3</v>
      </c>
      <c r="C116" s="270" t="str">
        <f t="shared" si="57"/>
        <v>Cookie Rumble</v>
      </c>
      <c r="D116" s="20">
        <f ca="1">IF($B116="","",SUMPRODUCT(--(Lineups!F$88:F$163=$B116),--(Lineups!B$88:B$163="")))</f>
        <v>1</v>
      </c>
      <c r="E116" s="464">
        <f t="shared" si="58"/>
        <v>0.05</v>
      </c>
      <c r="F116" s="472">
        <f ca="1">IF($B116="","",SUMPRODUCT(--(Lineups!F$88:F$163=$B116),--(Lineups!B$88:B$163="X")))</f>
        <v>0</v>
      </c>
      <c r="G116" s="472">
        <f ca="1">IF($B116="","",SUMPRODUCT(--(Lineups!I$88:I$163=$B116),--(Lineups!A$88:A$163&lt;&gt;"SP")))</f>
        <v>3</v>
      </c>
      <c r="H116" s="472">
        <f ca="1">IF($B116="","",SUMPRODUCT(--(Lineups!L$88:L$163=$B116),--(Lineups!A$88:A$163&lt;&gt;"SP")))</f>
        <v>1</v>
      </c>
      <c r="I116" s="472">
        <f ca="1">IF($B116="","",SUMPRODUCT(--(Lineups!O$88:O$163=$B116),--(Lineups!A$88:A$163&lt;&gt;"SP")))</f>
        <v>4</v>
      </c>
      <c r="J116" s="20">
        <f t="shared" si="59"/>
        <v>8</v>
      </c>
      <c r="K116" s="464">
        <f t="shared" si="60"/>
        <v>0.4</v>
      </c>
      <c r="L116" s="20">
        <f t="shared" si="61"/>
        <v>9</v>
      </c>
      <c r="M116" s="464">
        <f t="shared" si="62"/>
        <v>0.45</v>
      </c>
      <c r="N116" s="469">
        <f ca="1">IF(B116="","",IF(OR(SK!E197="",SK!E197=0),"",SK!H197))</f>
        <v>1</v>
      </c>
      <c r="O116" s="20">
        <f ca="1">IF($B116="","",SUMPRODUCT(--(Lineups!C$88:C$163=$B116)))</f>
        <v>3</v>
      </c>
      <c r="P116" s="464">
        <f t="shared" si="63"/>
        <v>0.15</v>
      </c>
      <c r="Q116" s="20">
        <f t="shared" si="64"/>
        <v>12</v>
      </c>
      <c r="R116" s="464">
        <f t="shared" si="65"/>
        <v>0.6</v>
      </c>
      <c r="T116" s="94">
        <f t="shared" si="66"/>
        <v>9</v>
      </c>
      <c r="U116" s="270" t="str">
        <f t="shared" si="67"/>
        <v>7</v>
      </c>
      <c r="V116" s="270" t="str">
        <f t="shared" si="67"/>
        <v>CottonCandy Princess</v>
      </c>
      <c r="W116" s="20">
        <f ca="1">IF($U116="","",SUMPRODUCT(--(Lineups!AB$88:AB$163=$U116),--(Lineups!X$88:X$163="")))</f>
        <v>3</v>
      </c>
      <c r="X116" s="464">
        <f t="shared" si="68"/>
        <v>0.15</v>
      </c>
      <c r="Y116" s="472">
        <f ca="1">IF($U116="","",SUMPRODUCT(--(Lineups!AB$88:AB$163=$U116),--(Lineups!X$88:X$163="X")))</f>
        <v>0</v>
      </c>
      <c r="Z116" s="472">
        <f ca="1">IF($U116="","",SUMPRODUCT(--(Lineups!AE$88:AE$163=$U116),--(Lineups!W$88:W$163&lt;&gt;"SP")))</f>
        <v>1</v>
      </c>
      <c r="AA116" s="472">
        <f ca="1">IF($U116="","",SUMPRODUCT(--(Lineups!AH$88:AH$163=$U116),--(Lineups!W$88:W$163&lt;&gt;"SP")))</f>
        <v>3</v>
      </c>
      <c r="AB116" s="472">
        <f ca="1">IF($U116="","",SUMPRODUCT(--(Lineups!AK$88:AK$163=$U116),--(Lineups!W$88:W$163&lt;&gt;"SP")))</f>
        <v>2</v>
      </c>
      <c r="AC116" s="20">
        <f t="shared" si="69"/>
        <v>6</v>
      </c>
      <c r="AD116" s="464">
        <f t="shared" si="70"/>
        <v>0.3</v>
      </c>
      <c r="AE116" s="20">
        <f t="shared" si="71"/>
        <v>9</v>
      </c>
      <c r="AF116" s="464">
        <f t="shared" si="72"/>
        <v>0.45</v>
      </c>
      <c r="AG116" s="469" t="str">
        <f ca="1">IF(U116="","",IF(OR(SK!U197="",SK!U197=0),"",SK!X197))</f>
        <v/>
      </c>
      <c r="AH116" s="20">
        <f ca="1">IF($U116="","",SUMPRODUCT(--(Lineups!Y$88:Y$163=$U116)))</f>
        <v>0</v>
      </c>
      <c r="AI116" s="464">
        <f t="shared" si="73"/>
        <v>0</v>
      </c>
      <c r="AJ116" s="20">
        <f t="shared" si="74"/>
        <v>9</v>
      </c>
      <c r="AK116" s="464">
        <f t="shared" si="75"/>
        <v>0.45</v>
      </c>
    </row>
    <row r="117" spans="1:37">
      <c r="A117" s="461">
        <f t="shared" si="56"/>
        <v>10</v>
      </c>
      <c r="B117" s="462" t="str">
        <f t="shared" si="57"/>
        <v>428</v>
      </c>
      <c r="C117" s="462" t="str">
        <f t="shared" si="57"/>
        <v>Freakin' Rican</v>
      </c>
      <c r="D117" s="463">
        <f ca="1">IF($B117="","",SUMPRODUCT(--(Lineups!F$88:F$163=$B117),--(Lineups!B$88:B$163="")))</f>
        <v>1</v>
      </c>
      <c r="E117" s="465">
        <f t="shared" si="58"/>
        <v>0.05</v>
      </c>
      <c r="F117" s="472">
        <f ca="1">IF($B117="","",SUMPRODUCT(--(Lineups!F$88:F$163=$B117),--(Lineups!B$88:B$163="X")))</f>
        <v>0</v>
      </c>
      <c r="G117" s="472">
        <f ca="1">IF($B117="","",SUMPRODUCT(--(Lineups!I$88:I$163=$B117),--(Lineups!A$88:A$163&lt;&gt;"SP")))</f>
        <v>0</v>
      </c>
      <c r="H117" s="472">
        <f ca="1">IF($B117="","",SUMPRODUCT(--(Lineups!L$88:L$163=$B117),--(Lineups!A$88:A$163&lt;&gt;"SP")))</f>
        <v>0</v>
      </c>
      <c r="I117" s="472">
        <f ca="1">IF($B117="","",SUMPRODUCT(--(Lineups!O$88:O$163=$B117),--(Lineups!A$88:A$163&lt;&gt;"SP")))</f>
        <v>0</v>
      </c>
      <c r="J117" s="463">
        <f t="shared" si="59"/>
        <v>0</v>
      </c>
      <c r="K117" s="465">
        <f t="shared" si="60"/>
        <v>0</v>
      </c>
      <c r="L117" s="463">
        <f t="shared" si="61"/>
        <v>1</v>
      </c>
      <c r="M117" s="465">
        <f t="shared" si="62"/>
        <v>0.05</v>
      </c>
      <c r="N117" s="470">
        <f ca="1">IF(B117="","",IF(OR(SK!E200="",SK!E200=0),"",SK!H200))</f>
        <v>4</v>
      </c>
      <c r="O117" s="463">
        <f ca="1">IF($B117="","",SUMPRODUCT(--(Lineups!C$88:C$163=$B117)))</f>
        <v>8</v>
      </c>
      <c r="P117" s="465">
        <f t="shared" si="63"/>
        <v>0.4</v>
      </c>
      <c r="Q117" s="463">
        <f t="shared" si="64"/>
        <v>9</v>
      </c>
      <c r="R117" s="465">
        <f t="shared" si="65"/>
        <v>0.45</v>
      </c>
      <c r="T117" s="461">
        <f t="shared" si="66"/>
        <v>10</v>
      </c>
      <c r="U117" s="462" t="str">
        <f t="shared" si="67"/>
        <v>72</v>
      </c>
      <c r="V117" s="462" t="str">
        <f t="shared" si="67"/>
        <v>Demonica Mars</v>
      </c>
      <c r="W117" s="463">
        <f ca="1">IF($U117="","",SUMPRODUCT(--(Lineups!AB$88:AB$163=$U117),--(Lineups!X$88:X$163="")))</f>
        <v>1</v>
      </c>
      <c r="X117" s="465">
        <f t="shared" si="68"/>
        <v>0.05</v>
      </c>
      <c r="Y117" s="472">
        <f ca="1">IF($U117="","",SUMPRODUCT(--(Lineups!AB$88:AB$163=$U117),--(Lineups!X$88:X$163="X")))</f>
        <v>0</v>
      </c>
      <c r="Z117" s="472">
        <f ca="1">IF($U117="","",SUMPRODUCT(--(Lineups!AE$88:AE$163=$U117),--(Lineups!W$88:W$163&lt;&gt;"SP")))</f>
        <v>0</v>
      </c>
      <c r="AA117" s="472">
        <f ca="1">IF($U117="","",SUMPRODUCT(--(Lineups!AH$88:AH$163=$U117),--(Lineups!W$88:W$163&lt;&gt;"SP")))</f>
        <v>2</v>
      </c>
      <c r="AB117" s="472">
        <f ca="1">IF($U117="","",SUMPRODUCT(--(Lineups!AK$88:AK$163=$U117),--(Lineups!W$88:W$163&lt;&gt;"SP")))</f>
        <v>1</v>
      </c>
      <c r="AC117" s="463">
        <f t="shared" si="69"/>
        <v>3</v>
      </c>
      <c r="AD117" s="465">
        <f t="shared" si="70"/>
        <v>0.15</v>
      </c>
      <c r="AE117" s="463">
        <f t="shared" si="71"/>
        <v>4</v>
      </c>
      <c r="AF117" s="465">
        <f t="shared" si="72"/>
        <v>0.2</v>
      </c>
      <c r="AG117" s="470">
        <f ca="1">IF(U117="","",IF(OR(SK!U200="",SK!U200=0),"",SK!X200))</f>
        <v>1</v>
      </c>
      <c r="AH117" s="463">
        <f ca="1">IF($U117="","",SUMPRODUCT(--(Lineups!Y$88:Y$163=$U117)))</f>
        <v>1</v>
      </c>
      <c r="AI117" s="465">
        <f t="shared" si="73"/>
        <v>0.05</v>
      </c>
      <c r="AJ117" s="463">
        <f t="shared" si="74"/>
        <v>5</v>
      </c>
      <c r="AK117" s="465">
        <f t="shared" si="75"/>
        <v>0.25</v>
      </c>
    </row>
    <row r="118" spans="1:37">
      <c r="A118" s="94">
        <f t="shared" si="56"/>
        <v>11</v>
      </c>
      <c r="B118" s="270" t="str">
        <f t="shared" si="57"/>
        <v>6</v>
      </c>
      <c r="C118" s="270" t="str">
        <f t="shared" si="57"/>
        <v>Elle McFearsome</v>
      </c>
      <c r="D118" s="20">
        <f ca="1">IF($B118="","",SUMPRODUCT(--(Lineups!F$88:F$163=$B118),--(Lineups!B$88:B$163="")))</f>
        <v>10</v>
      </c>
      <c r="E118" s="464">
        <f t="shared" si="58"/>
        <v>0.5</v>
      </c>
      <c r="F118" s="472">
        <f ca="1">IF($B118="","",SUMPRODUCT(--(Lineups!F$88:F$163=$B118),--(Lineups!B$88:B$163="X")))</f>
        <v>0</v>
      </c>
      <c r="G118" s="472">
        <f ca="1">IF($B118="","",SUMPRODUCT(--(Lineups!I$88:I$163=$B118),--(Lineups!A$88:A$163&lt;&gt;"SP")))</f>
        <v>0</v>
      </c>
      <c r="H118" s="472">
        <f ca="1">IF($B118="","",SUMPRODUCT(--(Lineups!L$88:L$163=$B118),--(Lineups!A$88:A$163&lt;&gt;"SP")))</f>
        <v>0</v>
      </c>
      <c r="I118" s="472">
        <f ca="1">IF($B118="","",SUMPRODUCT(--(Lineups!O$88:O$163=$B118),--(Lineups!A$88:A$163&lt;&gt;"SP")))</f>
        <v>0</v>
      </c>
      <c r="J118" s="20">
        <f t="shared" si="59"/>
        <v>0</v>
      </c>
      <c r="K118" s="464">
        <f t="shared" si="60"/>
        <v>0</v>
      </c>
      <c r="L118" s="20">
        <f t="shared" si="61"/>
        <v>10</v>
      </c>
      <c r="M118" s="464">
        <f t="shared" si="62"/>
        <v>0.5</v>
      </c>
      <c r="N118" s="469" t="str">
        <f ca="1">IF(B118="","",IF(OR(SK!E203="",SK!E203=0),"",SK!H203))</f>
        <v/>
      </c>
      <c r="O118" s="20">
        <f ca="1">IF($B118="","",SUMPRODUCT(--(Lineups!C$88:C$163=$B118)))</f>
        <v>0</v>
      </c>
      <c r="P118" s="464">
        <f t="shared" si="63"/>
        <v>0</v>
      </c>
      <c r="Q118" s="20">
        <f t="shared" si="64"/>
        <v>10</v>
      </c>
      <c r="R118" s="464">
        <f t="shared" si="65"/>
        <v>0.5</v>
      </c>
      <c r="T118" s="94">
        <f t="shared" si="66"/>
        <v>11</v>
      </c>
      <c r="U118" s="270" t="str">
        <f t="shared" si="67"/>
        <v>9.81</v>
      </c>
      <c r="V118" s="270" t="str">
        <f t="shared" si="67"/>
        <v>Uhura Belle Death</v>
      </c>
      <c r="W118" s="20">
        <f ca="1">IF($U118="","",SUMPRODUCT(--(Lineups!AB$88:AB$163=$U118),--(Lineups!X$88:X$163="")))</f>
        <v>0</v>
      </c>
      <c r="X118" s="464">
        <f t="shared" si="68"/>
        <v>0</v>
      </c>
      <c r="Y118" s="472">
        <f ca="1">IF($U118="","",SUMPRODUCT(--(Lineups!AB$88:AB$163=$U118),--(Lineups!X$88:X$163="X")))</f>
        <v>0</v>
      </c>
      <c r="Z118" s="472">
        <f ca="1">IF($U118="","",SUMPRODUCT(--(Lineups!AE$88:AE$163=$U118),--(Lineups!W$88:W$163&lt;&gt;"SP")))</f>
        <v>0</v>
      </c>
      <c r="AA118" s="472">
        <f ca="1">IF($U118="","",SUMPRODUCT(--(Lineups!AH$88:AH$163=$U118),--(Lineups!W$88:W$163&lt;&gt;"SP")))</f>
        <v>0</v>
      </c>
      <c r="AB118" s="472">
        <f ca="1">IF($U118="","",SUMPRODUCT(--(Lineups!AK$88:AK$163=$U118),--(Lineups!W$88:W$163&lt;&gt;"SP")))</f>
        <v>0</v>
      </c>
      <c r="AC118" s="20">
        <f t="shared" si="69"/>
        <v>0</v>
      </c>
      <c r="AD118" s="464">
        <f t="shared" si="70"/>
        <v>0</v>
      </c>
      <c r="AE118" s="20">
        <f t="shared" si="71"/>
        <v>0</v>
      </c>
      <c r="AF118" s="464">
        <f t="shared" si="72"/>
        <v>0</v>
      </c>
      <c r="AG118" s="469">
        <f ca="1">IF(U118="","",IF(OR(SK!U203="",SK!U203=0),"",SK!X203))</f>
        <v>2</v>
      </c>
      <c r="AH118" s="20">
        <f ca="1">IF($U118="","",SUMPRODUCT(--(Lineups!Y$88:Y$163=$U118)))</f>
        <v>5</v>
      </c>
      <c r="AI118" s="464">
        <f t="shared" si="73"/>
        <v>0.25</v>
      </c>
      <c r="AJ118" s="20">
        <f t="shared" si="74"/>
        <v>5</v>
      </c>
      <c r="AK118" s="464">
        <f t="shared" si="75"/>
        <v>0.25</v>
      </c>
    </row>
    <row r="119" spans="1:37">
      <c r="A119" s="461">
        <f t="shared" si="56"/>
        <v>12</v>
      </c>
      <c r="B119" s="462" t="str">
        <f t="shared" si="57"/>
        <v>728</v>
      </c>
      <c r="C119" s="462" t="str">
        <f t="shared" si="57"/>
        <v>Combat Cat</v>
      </c>
      <c r="D119" s="463">
        <f ca="1">IF($B119="","",SUMPRODUCT(--(Lineups!F$88:F$163=$B119),--(Lineups!B$88:B$163="")))</f>
        <v>0</v>
      </c>
      <c r="E119" s="465">
        <f t="shared" si="58"/>
        <v>0</v>
      </c>
      <c r="F119" s="472">
        <f ca="1">IF($B119="","",SUMPRODUCT(--(Lineups!F$88:F$163=$B119),--(Lineups!B$88:B$163="X")))</f>
        <v>0</v>
      </c>
      <c r="G119" s="472">
        <f ca="1">IF($B119="","",SUMPRODUCT(--(Lineups!I$88:I$163=$B119),--(Lineups!A$88:A$163&lt;&gt;"SP")))</f>
        <v>2</v>
      </c>
      <c r="H119" s="472">
        <f ca="1">IF($B119="","",SUMPRODUCT(--(Lineups!L$88:L$163=$B119),--(Lineups!A$88:A$163&lt;&gt;"SP")))</f>
        <v>1</v>
      </c>
      <c r="I119" s="472">
        <f ca="1">IF($B119="","",SUMPRODUCT(--(Lineups!O$88:O$163=$B119),--(Lineups!A$88:A$163&lt;&gt;"SP")))</f>
        <v>2</v>
      </c>
      <c r="J119" s="463">
        <f t="shared" si="59"/>
        <v>5</v>
      </c>
      <c r="K119" s="465">
        <f t="shared" si="60"/>
        <v>0.25</v>
      </c>
      <c r="L119" s="463">
        <f t="shared" si="61"/>
        <v>5</v>
      </c>
      <c r="M119" s="465">
        <f t="shared" si="62"/>
        <v>0.25</v>
      </c>
      <c r="N119" s="470">
        <f ca="1">IF(B119="","",IF(OR(SK!E206="",SK!E206=0),"",SK!H206))</f>
        <v>1</v>
      </c>
      <c r="O119" s="463">
        <f ca="1">IF($B119="","",SUMPRODUCT(--(Lineups!C$88:C$163=$B119)))</f>
        <v>4</v>
      </c>
      <c r="P119" s="465">
        <f t="shared" si="63"/>
        <v>0.2</v>
      </c>
      <c r="Q119" s="463">
        <f t="shared" si="64"/>
        <v>9</v>
      </c>
      <c r="R119" s="465">
        <f t="shared" si="65"/>
        <v>0.45</v>
      </c>
      <c r="T119" s="461">
        <f t="shared" si="66"/>
        <v>12</v>
      </c>
      <c r="U119" s="462" t="str">
        <f t="shared" si="67"/>
        <v>I-75</v>
      </c>
      <c r="V119" s="462" t="str">
        <f t="shared" si="67"/>
        <v>Diesel Doll</v>
      </c>
      <c r="W119" s="463">
        <f ca="1">IF($U119="","",SUMPRODUCT(--(Lineups!AB$88:AB$163=$U119),--(Lineups!X$88:X$163="")))</f>
        <v>8</v>
      </c>
      <c r="X119" s="465">
        <f t="shared" si="68"/>
        <v>0.4</v>
      </c>
      <c r="Y119" s="472">
        <f ca="1">IF($U119="","",SUMPRODUCT(--(Lineups!AB$88:AB$163=$U119),--(Lineups!X$88:X$163="X")))</f>
        <v>0</v>
      </c>
      <c r="Z119" s="472">
        <f ca="1">IF($U119="","",SUMPRODUCT(--(Lineups!AE$88:AE$163=$U119),--(Lineups!W$88:W$163&lt;&gt;"SP")))</f>
        <v>0</v>
      </c>
      <c r="AA119" s="472">
        <f ca="1">IF($U119="","",SUMPRODUCT(--(Lineups!AH$88:AH$163=$U119),--(Lineups!W$88:W$163&lt;&gt;"SP")))</f>
        <v>0</v>
      </c>
      <c r="AB119" s="472">
        <f ca="1">IF($U119="","",SUMPRODUCT(--(Lineups!AK$88:AK$163=$U119),--(Lineups!W$88:W$163&lt;&gt;"SP")))</f>
        <v>1</v>
      </c>
      <c r="AC119" s="463">
        <f t="shared" si="69"/>
        <v>1</v>
      </c>
      <c r="AD119" s="465">
        <f t="shared" si="70"/>
        <v>0.05</v>
      </c>
      <c r="AE119" s="463">
        <f t="shared" si="71"/>
        <v>9</v>
      </c>
      <c r="AF119" s="465">
        <f t="shared" si="72"/>
        <v>0.45</v>
      </c>
      <c r="AG119" s="470" t="str">
        <f ca="1">IF(U119="","",IF(OR(SK!U206="",SK!U206=0),"",SK!X206))</f>
        <v/>
      </c>
      <c r="AH119" s="463">
        <f ca="1">IF($U119="","",SUMPRODUCT(--(Lineups!Y$88:Y$163=$U119)))</f>
        <v>0</v>
      </c>
      <c r="AI119" s="465">
        <f t="shared" si="73"/>
        <v>0</v>
      </c>
      <c r="AJ119" s="463">
        <f t="shared" si="74"/>
        <v>9</v>
      </c>
      <c r="AK119" s="465">
        <f t="shared" si="75"/>
        <v>0.45</v>
      </c>
    </row>
    <row r="120" spans="1:37">
      <c r="A120" s="94">
        <f t="shared" si="56"/>
        <v>13</v>
      </c>
      <c r="B120" s="270" t="str">
        <f t="shared" si="57"/>
        <v>80</v>
      </c>
      <c r="C120" s="270" t="str">
        <f t="shared" si="57"/>
        <v>Mean Streak</v>
      </c>
      <c r="D120" s="20">
        <f ca="1">IF($B120="","",SUMPRODUCT(--(Lineups!F$88:F$163=$B120),--(Lineups!B$88:B$163="")))</f>
        <v>0</v>
      </c>
      <c r="E120" s="464">
        <f t="shared" si="58"/>
        <v>0</v>
      </c>
      <c r="F120" s="472">
        <f ca="1">IF($B120="","",SUMPRODUCT(--(Lineups!F$88:F$163=$B120),--(Lineups!B$88:B$163="X")))</f>
        <v>0</v>
      </c>
      <c r="G120" s="472">
        <f ca="1">IF($B120="","",SUMPRODUCT(--(Lineups!I$88:I$163=$B120),--(Lineups!A$88:A$163&lt;&gt;"SP")))</f>
        <v>1</v>
      </c>
      <c r="H120" s="472">
        <f ca="1">IF($B120="","",SUMPRODUCT(--(Lineups!L$88:L$163=$B120),--(Lineups!A$88:A$163&lt;&gt;"SP")))</f>
        <v>1</v>
      </c>
      <c r="I120" s="472">
        <f ca="1">IF($B120="","",SUMPRODUCT(--(Lineups!O$88:O$163=$B120),--(Lineups!A$88:A$163&lt;&gt;"SP")))</f>
        <v>0</v>
      </c>
      <c r="J120" s="20">
        <f t="shared" si="59"/>
        <v>2</v>
      </c>
      <c r="K120" s="464">
        <f t="shared" si="60"/>
        <v>0.1</v>
      </c>
      <c r="L120" s="20">
        <f t="shared" si="61"/>
        <v>2</v>
      </c>
      <c r="M120" s="464">
        <f t="shared" si="62"/>
        <v>0.1</v>
      </c>
      <c r="N120" s="469">
        <f ca="1">IF(B120="","",IF(OR(SK!E209="",SK!E209=0),"",SK!H209))</f>
        <v>2</v>
      </c>
      <c r="O120" s="20">
        <f ca="1">IF($B120="","",SUMPRODUCT(--(Lineups!C$88:C$163=$B120)))</f>
        <v>5</v>
      </c>
      <c r="P120" s="464">
        <f t="shared" si="63"/>
        <v>0.25</v>
      </c>
      <c r="Q120" s="20">
        <f t="shared" si="64"/>
        <v>7</v>
      </c>
      <c r="R120" s="464">
        <f t="shared" si="65"/>
        <v>0.35</v>
      </c>
      <c r="T120" s="94">
        <f t="shared" si="66"/>
        <v>13</v>
      </c>
      <c r="U120" s="270" t="str">
        <f t="shared" si="67"/>
        <v>N2O</v>
      </c>
      <c r="V120" s="270" t="str">
        <f t="shared" si="67"/>
        <v>Cool Whip</v>
      </c>
      <c r="W120" s="20">
        <f ca="1">IF($U120="","",SUMPRODUCT(--(Lineups!AB$88:AB$163=$U120),--(Lineups!X$88:X$163="")))</f>
        <v>6</v>
      </c>
      <c r="X120" s="464">
        <f t="shared" si="68"/>
        <v>0.3</v>
      </c>
      <c r="Y120" s="472">
        <f ca="1">IF($U120="","",SUMPRODUCT(--(Lineups!AB$88:AB$163=$U120),--(Lineups!X$88:X$163="X")))</f>
        <v>0</v>
      </c>
      <c r="Z120" s="472">
        <f ca="1">IF($U120="","",SUMPRODUCT(--(Lineups!AE$88:AE$163=$U120),--(Lineups!W$88:W$163&lt;&gt;"SP")))</f>
        <v>3</v>
      </c>
      <c r="AA120" s="472">
        <f ca="1">IF($U120="","",SUMPRODUCT(--(Lineups!AH$88:AH$163=$U120),--(Lineups!W$88:W$163&lt;&gt;"SP")))</f>
        <v>1</v>
      </c>
      <c r="AB120" s="472">
        <f ca="1">IF($U120="","",SUMPRODUCT(--(Lineups!AK$88:AK$163=$U120),--(Lineups!W$88:W$163&lt;&gt;"SP")))</f>
        <v>1</v>
      </c>
      <c r="AC120" s="20">
        <f t="shared" si="69"/>
        <v>5</v>
      </c>
      <c r="AD120" s="464">
        <f t="shared" si="70"/>
        <v>0.25</v>
      </c>
      <c r="AE120" s="20">
        <f t="shared" si="71"/>
        <v>11</v>
      </c>
      <c r="AF120" s="464">
        <f t="shared" si="72"/>
        <v>0.55000000000000004</v>
      </c>
      <c r="AG120" s="469" t="str">
        <f ca="1">IF(U120="","",IF(OR(SK!U209="",SK!U209=0),"",SK!X209))</f>
        <v/>
      </c>
      <c r="AH120" s="20">
        <f ca="1">IF($U120="","",SUMPRODUCT(--(Lineups!Y$88:Y$163=$U120)))</f>
        <v>0</v>
      </c>
      <c r="AI120" s="464">
        <f t="shared" si="73"/>
        <v>0</v>
      </c>
      <c r="AJ120" s="20">
        <f t="shared" si="74"/>
        <v>11</v>
      </c>
      <c r="AK120" s="464">
        <f t="shared" si="75"/>
        <v>0.55000000000000004</v>
      </c>
    </row>
    <row r="121" spans="1:37">
      <c r="A121" s="461">
        <f t="shared" si="56"/>
        <v>14</v>
      </c>
      <c r="B121" s="462" t="str">
        <f t="shared" si="57"/>
        <v>9.99</v>
      </c>
      <c r="C121" s="462" t="str">
        <f t="shared" si="57"/>
        <v>U.S.S. DentHerPrize</v>
      </c>
      <c r="D121" s="463">
        <f ca="1">IF($B121="","",SUMPRODUCT(--(Lineups!F$88:F$163=$B121),--(Lineups!B$88:B$163="")))</f>
        <v>0</v>
      </c>
      <c r="E121" s="465">
        <f t="shared" si="58"/>
        <v>0</v>
      </c>
      <c r="F121" s="472">
        <f ca="1">IF($B121="","",SUMPRODUCT(--(Lineups!F$88:F$163=$B121),--(Lineups!B$88:B$163="X")))</f>
        <v>0</v>
      </c>
      <c r="G121" s="472">
        <f ca="1">IF($B121="","",SUMPRODUCT(--(Lineups!I$88:I$163=$B121),--(Lineups!A$88:A$163&lt;&gt;"SP")))</f>
        <v>0</v>
      </c>
      <c r="H121" s="472">
        <f ca="1">IF($B121="","",SUMPRODUCT(--(Lineups!L$88:L$163=$B121),--(Lineups!A$88:A$163&lt;&gt;"SP")))</f>
        <v>0</v>
      </c>
      <c r="I121" s="472">
        <f ca="1">IF($B121="","",SUMPRODUCT(--(Lineups!O$88:O$163=$B121),--(Lineups!A$88:A$163&lt;&gt;"SP")))</f>
        <v>0</v>
      </c>
      <c r="J121" s="463">
        <f t="shared" si="59"/>
        <v>0</v>
      </c>
      <c r="K121" s="465">
        <f t="shared" si="60"/>
        <v>0</v>
      </c>
      <c r="L121" s="463">
        <f t="shared" si="61"/>
        <v>0</v>
      </c>
      <c r="M121" s="465">
        <f t="shared" si="62"/>
        <v>0</v>
      </c>
      <c r="N121" s="470" t="str">
        <f ca="1">IF(B121="","",IF(OR(SK!E212="",SK!E212=0),"",SK!H212))</f>
        <v/>
      </c>
      <c r="O121" s="463">
        <f ca="1">IF($B121="","",SUMPRODUCT(--(Lineups!C$88:C$163=$B121)))</f>
        <v>0</v>
      </c>
      <c r="P121" s="465">
        <f t="shared" si="63"/>
        <v>0</v>
      </c>
      <c r="Q121" s="463">
        <f t="shared" si="64"/>
        <v>0</v>
      </c>
      <c r="R121" s="465">
        <f t="shared" si="65"/>
        <v>0</v>
      </c>
      <c r="T121" s="461">
        <f t="shared" si="66"/>
        <v>14</v>
      </c>
      <c r="U121" s="462" t="str">
        <f t="shared" si="67"/>
        <v>W00T</v>
      </c>
      <c r="V121" s="462" t="str">
        <f t="shared" si="67"/>
        <v>Genniferal</v>
      </c>
      <c r="W121" s="463">
        <f ca="1">IF($U121="","",SUMPRODUCT(--(Lineups!AB$88:AB$163=$U121),--(Lineups!X$88:X$163="")))</f>
        <v>3</v>
      </c>
      <c r="X121" s="465">
        <f t="shared" si="68"/>
        <v>0.15</v>
      </c>
      <c r="Y121" s="472">
        <f ca="1">IF($U121="","",SUMPRODUCT(--(Lineups!AB$88:AB$163=$U121),--(Lineups!X$88:X$163="X")))</f>
        <v>0</v>
      </c>
      <c r="Z121" s="472">
        <f ca="1">IF($U121="","",SUMPRODUCT(--(Lineups!AE$88:AE$163=$U121),--(Lineups!W$88:W$163&lt;&gt;"SP")))</f>
        <v>3</v>
      </c>
      <c r="AA121" s="472">
        <f ca="1">IF($U121="","",SUMPRODUCT(--(Lineups!AH$88:AH$163=$U121),--(Lineups!W$88:W$163&lt;&gt;"SP")))</f>
        <v>1</v>
      </c>
      <c r="AB121" s="472">
        <f ca="1">IF($U121="","",SUMPRODUCT(--(Lineups!AK$88:AK$163=$U121),--(Lineups!W$88:W$163&lt;&gt;"SP")))</f>
        <v>2</v>
      </c>
      <c r="AC121" s="463">
        <f t="shared" si="69"/>
        <v>6</v>
      </c>
      <c r="AD121" s="465">
        <f t="shared" si="70"/>
        <v>0.3</v>
      </c>
      <c r="AE121" s="463">
        <f t="shared" si="71"/>
        <v>9</v>
      </c>
      <c r="AF121" s="465">
        <f t="shared" si="72"/>
        <v>0.45</v>
      </c>
      <c r="AG121" s="470">
        <f ca="1">IF(U121="","",IF(OR(SK!U212="",SK!U212=0),"",SK!X212))</f>
        <v>0</v>
      </c>
      <c r="AH121" s="463">
        <f ca="1">IF($U121="","",SUMPRODUCT(--(Lineups!Y$88:Y$163=$U121)))</f>
        <v>1</v>
      </c>
      <c r="AI121" s="465">
        <f t="shared" si="73"/>
        <v>0.05</v>
      </c>
      <c r="AJ121" s="463">
        <f t="shared" si="74"/>
        <v>10</v>
      </c>
      <c r="AK121" s="465">
        <f t="shared" si="75"/>
        <v>0.5</v>
      </c>
    </row>
    <row r="122" spans="1:37">
      <c r="A122" s="94">
        <f t="shared" si="56"/>
        <v>15</v>
      </c>
      <c r="B122" s="270" t="str">
        <f t="shared" si="57"/>
        <v>F14</v>
      </c>
      <c r="C122" s="270" t="str">
        <f t="shared" si="57"/>
        <v>Apertorture</v>
      </c>
      <c r="D122" s="20">
        <f ca="1">IF($B122="","",SUMPRODUCT(--(Lineups!F$88:F$163=$B122),--(Lineups!B$88:B$163="")))</f>
        <v>0</v>
      </c>
      <c r="E122" s="464">
        <f t="shared" si="58"/>
        <v>0</v>
      </c>
      <c r="F122" s="472">
        <f ca="1">IF($B122="","",SUMPRODUCT(--(Lineups!F$88:F$163=$B122),--(Lineups!B$88:B$163="X")))</f>
        <v>0</v>
      </c>
      <c r="G122" s="472">
        <f ca="1">IF($B122="","",SUMPRODUCT(--(Lineups!I$88:I$163=$B122),--(Lineups!A$88:A$163&lt;&gt;"SP")))</f>
        <v>0</v>
      </c>
      <c r="H122" s="472">
        <f ca="1">IF($B122="","",SUMPRODUCT(--(Lineups!L$88:L$163=$B122),--(Lineups!A$88:A$163&lt;&gt;"SP")))</f>
        <v>3</v>
      </c>
      <c r="I122" s="472">
        <f ca="1">IF($B122="","",SUMPRODUCT(--(Lineups!O$88:O$163=$B122),--(Lineups!A$88:A$163&lt;&gt;"SP")))</f>
        <v>0</v>
      </c>
      <c r="J122" s="20">
        <f t="shared" si="59"/>
        <v>3</v>
      </c>
      <c r="K122" s="464">
        <f t="shared" si="60"/>
        <v>0.15</v>
      </c>
      <c r="L122" s="20">
        <f t="shared" si="61"/>
        <v>3</v>
      </c>
      <c r="M122" s="464">
        <f t="shared" si="62"/>
        <v>0.15</v>
      </c>
      <c r="N122" s="469" t="str">
        <f ca="1">IF(B122="","",IF(OR(SK!E215="",SK!E215=0),"",SK!H215))</f>
        <v/>
      </c>
      <c r="O122" s="20">
        <f ca="1">IF($B122="","",SUMPRODUCT(--(Lineups!C$88:C$163=$B122)))</f>
        <v>0</v>
      </c>
      <c r="P122" s="464">
        <f t="shared" si="63"/>
        <v>0</v>
      </c>
      <c r="Q122" s="20">
        <f t="shared" si="64"/>
        <v>3</v>
      </c>
      <c r="R122" s="464">
        <f t="shared" si="65"/>
        <v>0.15</v>
      </c>
      <c r="T122" s="94">
        <f t="shared" si="66"/>
        <v>15</v>
      </c>
      <c r="U122" s="270" t="str">
        <f t="shared" si="67"/>
        <v>Z28</v>
      </c>
      <c r="V122" s="270" t="str">
        <f t="shared" si="67"/>
        <v>V8 Nightmare</v>
      </c>
      <c r="W122" s="20">
        <f ca="1">IF($U122="","",SUMPRODUCT(--(Lineups!AB$88:AB$163=$U122),--(Lineups!X$88:X$163="")))</f>
        <v>0</v>
      </c>
      <c r="X122" s="464">
        <f t="shared" si="68"/>
        <v>0</v>
      </c>
      <c r="Y122" s="472">
        <f ca="1">IF($U122="","",SUMPRODUCT(--(Lineups!AB$88:AB$163=$U122),--(Lineups!X$88:X$163="X")))</f>
        <v>0</v>
      </c>
      <c r="Z122" s="472">
        <f ca="1">IF($U122="","",SUMPRODUCT(--(Lineups!AE$88:AE$163=$U122),--(Lineups!W$88:W$163&lt;&gt;"SP")))</f>
        <v>0</v>
      </c>
      <c r="AA122" s="472">
        <f ca="1">IF($U122="","",SUMPRODUCT(--(Lineups!AH$88:AH$163=$U122),--(Lineups!W$88:W$163&lt;&gt;"SP")))</f>
        <v>1</v>
      </c>
      <c r="AB122" s="472">
        <f ca="1">IF($U122="","",SUMPRODUCT(--(Lineups!AK$88:AK$163=$U122),--(Lineups!W$88:W$163&lt;&gt;"SP")))</f>
        <v>1</v>
      </c>
      <c r="AC122" s="20">
        <f t="shared" si="69"/>
        <v>2</v>
      </c>
      <c r="AD122" s="464">
        <f t="shared" si="70"/>
        <v>0.1</v>
      </c>
      <c r="AE122" s="20">
        <f t="shared" si="71"/>
        <v>2</v>
      </c>
      <c r="AF122" s="464">
        <f t="shared" si="72"/>
        <v>0.1</v>
      </c>
      <c r="AG122" s="469" t="str">
        <f ca="1">IF(U122="","",IF(OR(SK!U215="",SK!U215=0),"",SK!X215))</f>
        <v/>
      </c>
      <c r="AH122" s="20">
        <f ca="1">IF($U122="","",SUMPRODUCT(--(Lineups!Y$88:Y$163=$U122)))</f>
        <v>0</v>
      </c>
      <c r="AI122" s="464">
        <f t="shared" si="73"/>
        <v>0</v>
      </c>
      <c r="AJ122" s="20">
        <f t="shared" si="74"/>
        <v>2</v>
      </c>
      <c r="AK122" s="464">
        <f t="shared" si="75"/>
        <v>0.1</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43" t="s">
        <v>350</v>
      </c>
      <c r="B129" s="1343"/>
      <c r="C129" s="1343"/>
      <c r="D129" s="309"/>
      <c r="E129" s="309"/>
      <c r="F129" s="309"/>
      <c r="G129" s="309"/>
      <c r="H129" s="309"/>
      <c r="I129" s="309"/>
      <c r="J129" s="309"/>
      <c r="K129" s="309"/>
      <c r="L129" s="309"/>
      <c r="M129" s="309"/>
      <c r="N129" s="309"/>
      <c r="O129" s="309"/>
      <c r="P129" s="309"/>
      <c r="Q129" s="309"/>
      <c r="R129" s="309"/>
      <c r="T129" s="1343" t="s">
        <v>350</v>
      </c>
      <c r="U129" s="1343"/>
      <c r="V129" s="1343"/>
      <c r="W129" s="309"/>
      <c r="X129" s="309"/>
      <c r="Y129" s="309"/>
      <c r="Z129" s="309"/>
      <c r="AA129" s="309"/>
      <c r="AB129" s="309"/>
      <c r="AC129" s="309"/>
      <c r="AD129" s="309"/>
      <c r="AE129" s="309"/>
      <c r="AF129" s="309"/>
      <c r="AG129" s="309"/>
      <c r="AH129" s="309"/>
      <c r="AI129" s="309"/>
      <c r="AJ129" s="309"/>
      <c r="AK129" s="309"/>
    </row>
    <row r="130" spans="1:37">
      <c r="A130" s="466">
        <v>0</v>
      </c>
      <c r="B130" s="466" t="s">
        <v>202</v>
      </c>
      <c r="C130" s="466" t="s">
        <v>203</v>
      </c>
      <c r="D130" s="466" t="s">
        <v>187</v>
      </c>
      <c r="E130" s="302"/>
      <c r="F130" s="471" t="s">
        <v>189</v>
      </c>
      <c r="G130" s="471" t="s">
        <v>189</v>
      </c>
      <c r="H130" s="471" t="s">
        <v>189</v>
      </c>
      <c r="I130" s="471" t="s">
        <v>189</v>
      </c>
      <c r="J130" s="466" t="s">
        <v>212</v>
      </c>
      <c r="K130" s="302"/>
      <c r="L130" s="466" t="s">
        <v>214</v>
      </c>
      <c r="M130" s="302"/>
      <c r="N130" s="468" t="s">
        <v>29</v>
      </c>
      <c r="O130" s="466" t="s">
        <v>190</v>
      </c>
      <c r="P130" s="302"/>
      <c r="Q130" s="466" t="s">
        <v>23</v>
      </c>
      <c r="R130" s="302"/>
      <c r="T130" s="466">
        <v>0</v>
      </c>
      <c r="U130" s="466" t="s">
        <v>202</v>
      </c>
      <c r="V130" s="466" t="s">
        <v>203</v>
      </c>
      <c r="W130" s="466" t="s">
        <v>187</v>
      </c>
      <c r="X130" s="302"/>
      <c r="Y130" s="471" t="s">
        <v>189</v>
      </c>
      <c r="Z130" s="471" t="s">
        <v>189</v>
      </c>
      <c r="AA130" s="471" t="s">
        <v>189</v>
      </c>
      <c r="AB130" s="471" t="s">
        <v>189</v>
      </c>
      <c r="AC130" s="466" t="s">
        <v>212</v>
      </c>
      <c r="AD130" s="302"/>
      <c r="AE130" s="466" t="s">
        <v>214</v>
      </c>
      <c r="AF130" s="302"/>
      <c r="AG130" s="468" t="s">
        <v>29</v>
      </c>
      <c r="AH130" s="466" t="s">
        <v>190</v>
      </c>
      <c r="AI130" s="302"/>
      <c r="AJ130" s="466" t="s">
        <v>23</v>
      </c>
      <c r="AK130" s="302"/>
    </row>
    <row r="131" spans="1:37">
      <c r="A131" s="94">
        <f t="shared" ref="A131:A150" si="76">A130+1</f>
        <v>1</v>
      </c>
      <c r="B131" s="94" t="str">
        <f t="shared" ref="B131:C150" si="77">B108</f>
        <v>138</v>
      </c>
      <c r="C131" s="94" t="str">
        <f t="shared" si="77"/>
        <v>Mag Pie</v>
      </c>
      <c r="D131" s="94">
        <f t="shared" ref="D131:D150" ca="1" si="78">IF($B131="","",D154-D177)</f>
        <v>0</v>
      </c>
      <c r="F131" s="472">
        <f t="shared" ref="F131:I150" ca="1" si="79">IF($B131="","",F154-F177)</f>
        <v>0</v>
      </c>
      <c r="G131" s="472">
        <f t="shared" ref="G131:G150" ca="1" si="80">IF($B131="","",G154-G177)</f>
        <v>8</v>
      </c>
      <c r="H131" s="472">
        <f t="shared" ca="1" si="79"/>
        <v>-11</v>
      </c>
      <c r="I131" s="472">
        <f t="shared" ca="1" si="79"/>
        <v>0</v>
      </c>
      <c r="J131" s="94">
        <f t="shared" ref="J131:J150" ca="1" si="81">IF(B131="","",SUM(F131:I131))</f>
        <v>-3</v>
      </c>
      <c r="L131" s="94">
        <f t="shared" ref="L131:L150" ca="1" si="82">IF(B131="","",SUM(D131,J131))</f>
        <v>-3</v>
      </c>
      <c r="O131" s="94">
        <f t="shared" ref="O131:O150" ca="1" si="83">IF($B131="","",O154-O177)</f>
        <v>0</v>
      </c>
      <c r="Q131" s="94">
        <f t="shared" ref="Q131:Q150" ca="1" si="84">IF(B131="","",SUM(L131,O131))</f>
        <v>-3</v>
      </c>
      <c r="T131" s="94">
        <f t="shared" ref="T131:T150" si="85">T130+1</f>
        <v>1</v>
      </c>
      <c r="U131" s="94" t="str">
        <f t="shared" ref="U131:V150" si="86">U108</f>
        <v>182</v>
      </c>
      <c r="V131" s="94" t="str">
        <f t="shared" si="86"/>
        <v>Travis Blocker</v>
      </c>
      <c r="W131" s="94">
        <f t="shared" ref="W131:W150" ca="1" si="87">IF($B131="","",W154-W177)</f>
        <v>0</v>
      </c>
      <c r="Y131" s="472">
        <f t="shared" ref="Y131:Y150" ca="1" si="88">IF($B131="",0,Y154-Y177)</f>
        <v>0</v>
      </c>
      <c r="Z131" s="472">
        <f t="shared" ref="Z131:AB150" ca="1" si="89">IF($B131="","",Z154-Z177)</f>
        <v>0</v>
      </c>
      <c r="AA131" s="472">
        <f t="shared" ca="1" si="89"/>
        <v>21</v>
      </c>
      <c r="AB131" s="472">
        <f t="shared" ca="1" si="89"/>
        <v>-10</v>
      </c>
      <c r="AC131" s="94">
        <f ca="1">IF(U131="","",SUM(Y131:AB131))</f>
        <v>11</v>
      </c>
      <c r="AE131" s="94">
        <f t="shared" ref="AE131:AE150" ca="1" si="90">IF(U131="","",SUM(W131,AC131))</f>
        <v>11</v>
      </c>
      <c r="AH131" s="94">
        <f t="shared" ref="AH131:AH150" ca="1" si="91">IF($B131="","",AH154-AH177)</f>
        <v>0</v>
      </c>
      <c r="AJ131" s="94">
        <f t="shared" ref="AJ131:AJ150" ca="1" si="92">IF(U131="","",SUM(AE131,AH131))</f>
        <v>11</v>
      </c>
    </row>
    <row r="132" spans="1:37">
      <c r="A132" s="461">
        <f t="shared" si="76"/>
        <v>2</v>
      </c>
      <c r="B132" s="461" t="str">
        <f t="shared" si="77"/>
        <v>181</v>
      </c>
      <c r="C132" s="461" t="str">
        <f t="shared" si="77"/>
        <v>Vega Vendetta</v>
      </c>
      <c r="D132" s="461">
        <f t="shared" ca="1" si="78"/>
        <v>0</v>
      </c>
      <c r="F132" s="472">
        <f t="shared" ca="1" si="79"/>
        <v>0</v>
      </c>
      <c r="G132" s="472">
        <f t="shared" ca="1" si="80"/>
        <v>10</v>
      </c>
      <c r="H132" s="472">
        <f t="shared" ca="1" si="79"/>
        <v>4</v>
      </c>
      <c r="I132" s="472">
        <f t="shared" ca="1" si="79"/>
        <v>7</v>
      </c>
      <c r="J132" s="461">
        <f t="shared" ca="1" si="81"/>
        <v>21</v>
      </c>
      <c r="L132" s="461">
        <f t="shared" ca="1" si="82"/>
        <v>21</v>
      </c>
      <c r="O132" s="461">
        <f t="shared" ca="1" si="83"/>
        <v>0</v>
      </c>
      <c r="Q132" s="461">
        <f t="shared" ca="1" si="84"/>
        <v>21</v>
      </c>
      <c r="T132" s="461">
        <f t="shared" si="85"/>
        <v>2</v>
      </c>
      <c r="U132" s="461" t="str">
        <f t="shared" si="86"/>
        <v>2¢</v>
      </c>
      <c r="V132" s="461" t="str">
        <f t="shared" si="86"/>
        <v>Vera Toss</v>
      </c>
      <c r="W132" s="461">
        <f t="shared" ca="1" si="87"/>
        <v>0</v>
      </c>
      <c r="Y132" s="472">
        <f t="shared" ca="1" si="88"/>
        <v>0</v>
      </c>
      <c r="Z132" s="472">
        <f t="shared" ca="1" si="89"/>
        <v>-2</v>
      </c>
      <c r="AA132" s="472">
        <f t="shared" ca="1" si="89"/>
        <v>4</v>
      </c>
      <c r="AB132" s="472">
        <f t="shared" ca="1" si="89"/>
        <v>2</v>
      </c>
      <c r="AC132" s="461">
        <f t="shared" ref="AC132:AC150" ca="1" si="93">IF(U132="","",SUM(Y132:AB132))</f>
        <v>4</v>
      </c>
      <c r="AE132" s="461">
        <f t="shared" ca="1" si="90"/>
        <v>4</v>
      </c>
      <c r="AH132" s="461">
        <f t="shared" ca="1" si="91"/>
        <v>0</v>
      </c>
      <c r="AJ132" s="461">
        <f t="shared" ca="1" si="92"/>
        <v>4</v>
      </c>
    </row>
    <row r="133" spans="1:37">
      <c r="A133" s="94">
        <f t="shared" si="76"/>
        <v>3</v>
      </c>
      <c r="B133" s="94" t="str">
        <f t="shared" si="77"/>
        <v>1821</v>
      </c>
      <c r="C133" s="94" t="str">
        <f t="shared" si="77"/>
        <v>Mexi-Go</v>
      </c>
      <c r="D133" s="94">
        <f t="shared" ca="1" si="78"/>
        <v>0</v>
      </c>
      <c r="F133" s="472">
        <f t="shared" ca="1" si="79"/>
        <v>0</v>
      </c>
      <c r="G133" s="472">
        <f t="shared" ca="1" si="80"/>
        <v>3</v>
      </c>
      <c r="H133" s="472">
        <f t="shared" ca="1" si="79"/>
        <v>-4</v>
      </c>
      <c r="I133" s="472">
        <f t="shared" ca="1" si="79"/>
        <v>13</v>
      </c>
      <c r="J133" s="94">
        <f t="shared" ca="1" si="81"/>
        <v>12</v>
      </c>
      <c r="L133" s="94">
        <f t="shared" ca="1" si="82"/>
        <v>12</v>
      </c>
      <c r="O133" s="94">
        <f t="shared" ca="1" si="83"/>
        <v>0</v>
      </c>
      <c r="Q133" s="94">
        <f t="shared" ca="1" si="84"/>
        <v>12</v>
      </c>
      <c r="T133" s="94">
        <f t="shared" si="85"/>
        <v>3</v>
      </c>
      <c r="U133" s="94" t="str">
        <f t="shared" si="86"/>
        <v>24/7</v>
      </c>
      <c r="V133" s="94" t="str">
        <f t="shared" si="86"/>
        <v>boo d. livers</v>
      </c>
      <c r="W133" s="94">
        <f t="shared" ca="1" si="87"/>
        <v>0</v>
      </c>
      <c r="Y133" s="472">
        <f t="shared" ca="1" si="88"/>
        <v>0</v>
      </c>
      <c r="Z133" s="472">
        <f t="shared" ca="1" si="89"/>
        <v>-17</v>
      </c>
      <c r="AA133" s="472">
        <f t="shared" ca="1" si="89"/>
        <v>-12</v>
      </c>
      <c r="AB133" s="472">
        <f t="shared" ca="1" si="89"/>
        <v>-3</v>
      </c>
      <c r="AC133" s="94">
        <f t="shared" ca="1" si="93"/>
        <v>-32</v>
      </c>
      <c r="AE133" s="94">
        <f t="shared" ca="1" si="90"/>
        <v>-32</v>
      </c>
      <c r="AH133" s="94">
        <f t="shared" ca="1" si="91"/>
        <v>0</v>
      </c>
      <c r="AJ133" s="94">
        <f t="shared" ca="1" si="92"/>
        <v>-32</v>
      </c>
    </row>
    <row r="134" spans="1:37">
      <c r="A134" s="461">
        <f t="shared" si="76"/>
        <v>4</v>
      </c>
      <c r="B134" s="461" t="str">
        <f t="shared" si="77"/>
        <v>187</v>
      </c>
      <c r="C134" s="461" t="str">
        <f t="shared" si="77"/>
        <v>VeroniKILL</v>
      </c>
      <c r="D134" s="461">
        <f t="shared" ca="1" si="78"/>
        <v>0</v>
      </c>
      <c r="F134" s="472">
        <f t="shared" ca="1" si="79"/>
        <v>0</v>
      </c>
      <c r="G134" s="472">
        <f t="shared" ca="1" si="80"/>
        <v>-31</v>
      </c>
      <c r="H134" s="472">
        <f t="shared" ca="1" si="79"/>
        <v>1</v>
      </c>
      <c r="I134" s="472">
        <f t="shared" ca="1" si="79"/>
        <v>-11</v>
      </c>
      <c r="J134" s="461">
        <f t="shared" ca="1" si="81"/>
        <v>-41</v>
      </c>
      <c r="L134" s="461">
        <f t="shared" ca="1" si="82"/>
        <v>-41</v>
      </c>
      <c r="O134" s="461">
        <f t="shared" ca="1" si="83"/>
        <v>0</v>
      </c>
      <c r="Q134" s="461">
        <f t="shared" ca="1" si="84"/>
        <v>-41</v>
      </c>
      <c r="T134" s="461">
        <f t="shared" si="85"/>
        <v>4</v>
      </c>
      <c r="U134" s="461" t="str">
        <f t="shared" si="86"/>
        <v>27</v>
      </c>
      <c r="V134" s="461" t="str">
        <f t="shared" si="86"/>
        <v>A.O. Lesgo</v>
      </c>
      <c r="W134" s="461">
        <f t="shared" ca="1" si="87"/>
        <v>0</v>
      </c>
      <c r="Y134" s="472">
        <f t="shared" ca="1" si="88"/>
        <v>0</v>
      </c>
      <c r="Z134" s="472">
        <f t="shared" ca="1" si="89"/>
        <v>-1</v>
      </c>
      <c r="AA134" s="472">
        <f t="shared" ca="1" si="89"/>
        <v>-8</v>
      </c>
      <c r="AB134" s="472">
        <f t="shared" ca="1" si="89"/>
        <v>0</v>
      </c>
      <c r="AC134" s="461">
        <f t="shared" ca="1" si="93"/>
        <v>-9</v>
      </c>
      <c r="AE134" s="461">
        <f t="shared" ca="1" si="90"/>
        <v>-9</v>
      </c>
      <c r="AH134" s="461">
        <f t="shared" ca="1" si="91"/>
        <v>0</v>
      </c>
      <c r="AJ134" s="461">
        <f t="shared" ca="1" si="92"/>
        <v>-9</v>
      </c>
    </row>
    <row r="135" spans="1:37">
      <c r="A135" s="94">
        <f t="shared" si="76"/>
        <v>5</v>
      </c>
      <c r="B135" s="94" t="str">
        <f t="shared" si="77"/>
        <v>1879</v>
      </c>
      <c r="C135" s="94" t="str">
        <f t="shared" si="77"/>
        <v>Belle Isle Hurtya</v>
      </c>
      <c r="D135" s="94">
        <f t="shared" ca="1" si="78"/>
        <v>0</v>
      </c>
      <c r="F135" s="472">
        <f t="shared" ca="1" si="79"/>
        <v>-3</v>
      </c>
      <c r="G135" s="472">
        <f t="shared" ca="1" si="80"/>
        <v>0</v>
      </c>
      <c r="H135" s="472">
        <f t="shared" ca="1" si="79"/>
        <v>0</v>
      </c>
      <c r="I135" s="472">
        <f t="shared" ca="1" si="79"/>
        <v>0</v>
      </c>
      <c r="J135" s="94">
        <f t="shared" ca="1" si="81"/>
        <v>-3</v>
      </c>
      <c r="L135" s="94">
        <f t="shared" ca="1" si="82"/>
        <v>-3</v>
      </c>
      <c r="O135" s="94">
        <f t="shared" ca="1" si="83"/>
        <v>0</v>
      </c>
      <c r="Q135" s="94">
        <f t="shared" ca="1" si="84"/>
        <v>-3</v>
      </c>
      <c r="T135" s="94">
        <f t="shared" si="85"/>
        <v>5</v>
      </c>
      <c r="U135" s="94" t="str">
        <f t="shared" si="86"/>
        <v>38DD</v>
      </c>
      <c r="V135" s="94" t="str">
        <f t="shared" si="86"/>
        <v>Tig O' Hitties</v>
      </c>
      <c r="W135" s="94">
        <f t="shared" ca="1" si="87"/>
        <v>0</v>
      </c>
      <c r="Y135" s="472">
        <f t="shared" ca="1" si="88"/>
        <v>0</v>
      </c>
      <c r="Z135" s="472">
        <f t="shared" ca="1" si="89"/>
        <v>-4</v>
      </c>
      <c r="AA135" s="472">
        <f t="shared" ca="1" si="89"/>
        <v>9</v>
      </c>
      <c r="AB135" s="472">
        <f t="shared" ca="1" si="89"/>
        <v>9</v>
      </c>
      <c r="AC135" s="94">
        <f t="shared" ca="1" si="93"/>
        <v>14</v>
      </c>
      <c r="AE135" s="94">
        <f t="shared" ca="1" si="90"/>
        <v>14</v>
      </c>
      <c r="AH135" s="94">
        <f t="shared" ca="1" si="91"/>
        <v>0</v>
      </c>
      <c r="AJ135" s="94">
        <f t="shared" ca="1" si="92"/>
        <v>14</v>
      </c>
    </row>
    <row r="136" spans="1:37">
      <c r="A136" s="461">
        <f t="shared" si="76"/>
        <v>6</v>
      </c>
      <c r="B136" s="461" t="str">
        <f t="shared" si="77"/>
        <v>20</v>
      </c>
      <c r="C136" s="461" t="str">
        <f t="shared" si="77"/>
        <v>Devil Kitty</v>
      </c>
      <c r="D136" s="461">
        <f t="shared" ca="1" si="78"/>
        <v>-14</v>
      </c>
      <c r="F136" s="472">
        <f t="shared" ca="1" si="79"/>
        <v>0</v>
      </c>
      <c r="G136" s="472">
        <f t="shared" ca="1" si="80"/>
        <v>-3</v>
      </c>
      <c r="H136" s="472">
        <f t="shared" ca="1" si="79"/>
        <v>0</v>
      </c>
      <c r="I136" s="472">
        <f t="shared" ca="1" si="79"/>
        <v>-4</v>
      </c>
      <c r="J136" s="461">
        <f t="shared" ca="1" si="81"/>
        <v>-7</v>
      </c>
      <c r="L136" s="461">
        <f t="shared" ca="1" si="82"/>
        <v>-21</v>
      </c>
      <c r="O136" s="461">
        <f t="shared" ca="1" si="83"/>
        <v>0</v>
      </c>
      <c r="Q136" s="461">
        <f t="shared" ca="1" si="84"/>
        <v>-21</v>
      </c>
      <c r="T136" s="461">
        <f t="shared" si="85"/>
        <v>6</v>
      </c>
      <c r="U136" s="461" t="str">
        <f t="shared" si="86"/>
        <v>42</v>
      </c>
      <c r="V136" s="461" t="str">
        <f t="shared" si="86"/>
        <v>Midnite Vulture</v>
      </c>
      <c r="W136" s="461">
        <f t="shared" ca="1" si="87"/>
        <v>0</v>
      </c>
      <c r="Y136" s="472">
        <f t="shared" ca="1" si="88"/>
        <v>0</v>
      </c>
      <c r="Z136" s="472">
        <f t="shared" ca="1" si="89"/>
        <v>19</v>
      </c>
      <c r="AA136" s="472">
        <f t="shared" ca="1" si="89"/>
        <v>0</v>
      </c>
      <c r="AB136" s="472">
        <f t="shared" ca="1" si="89"/>
        <v>-5</v>
      </c>
      <c r="AC136" s="461">
        <f t="shared" ca="1" si="93"/>
        <v>14</v>
      </c>
      <c r="AE136" s="461">
        <f t="shared" ca="1" si="90"/>
        <v>14</v>
      </c>
      <c r="AH136" s="461">
        <f t="shared" ca="1" si="91"/>
        <v>0</v>
      </c>
      <c r="AJ136" s="461">
        <f t="shared" ca="1" si="92"/>
        <v>14</v>
      </c>
    </row>
    <row r="137" spans="1:37">
      <c r="A137" s="94">
        <f t="shared" si="76"/>
        <v>7</v>
      </c>
      <c r="B137" s="94" t="str">
        <f t="shared" si="77"/>
        <v>20KN</v>
      </c>
      <c r="C137" s="94" t="str">
        <f t="shared" si="77"/>
        <v>Kraken Whips</v>
      </c>
      <c r="D137" s="94">
        <f t="shared" ca="1" si="78"/>
        <v>0</v>
      </c>
      <c r="F137" s="472">
        <f t="shared" ca="1" si="79"/>
        <v>0</v>
      </c>
      <c r="G137" s="472">
        <f t="shared" ca="1" si="80"/>
        <v>-4</v>
      </c>
      <c r="H137" s="472">
        <f t="shared" ca="1" si="79"/>
        <v>-14</v>
      </c>
      <c r="I137" s="472">
        <f t="shared" ca="1" si="79"/>
        <v>0</v>
      </c>
      <c r="J137" s="94">
        <f t="shared" ca="1" si="81"/>
        <v>-18</v>
      </c>
      <c r="L137" s="94">
        <f t="shared" ca="1" si="82"/>
        <v>-18</v>
      </c>
      <c r="O137" s="94">
        <f t="shared" ca="1" si="83"/>
        <v>0</v>
      </c>
      <c r="Q137" s="94">
        <f t="shared" ca="1" si="84"/>
        <v>-18</v>
      </c>
      <c r="T137" s="94">
        <f t="shared" si="85"/>
        <v>7</v>
      </c>
      <c r="U137" s="94" t="str">
        <f t="shared" si="86"/>
        <v>50</v>
      </c>
      <c r="V137" s="94" t="str">
        <f t="shared" si="86"/>
        <v>Sam-I-Slam</v>
      </c>
      <c r="W137" s="94">
        <f t="shared" ca="1" si="87"/>
        <v>0</v>
      </c>
      <c r="Y137" s="472">
        <f t="shared" ca="1" si="88"/>
        <v>0</v>
      </c>
      <c r="Z137" s="472">
        <f t="shared" ca="1" si="89"/>
        <v>0</v>
      </c>
      <c r="AA137" s="472">
        <f t="shared" ca="1" si="89"/>
        <v>0</v>
      </c>
      <c r="AB137" s="472">
        <f t="shared" ca="1" si="89"/>
        <v>0</v>
      </c>
      <c r="AC137" s="94">
        <f t="shared" ca="1" si="93"/>
        <v>0</v>
      </c>
      <c r="AE137" s="94">
        <f t="shared" ca="1" si="90"/>
        <v>0</v>
      </c>
      <c r="AH137" s="94">
        <f t="shared" ca="1" si="91"/>
        <v>11</v>
      </c>
      <c r="AJ137" s="94">
        <f t="shared" ca="1" si="92"/>
        <v>11</v>
      </c>
    </row>
    <row r="138" spans="1:37">
      <c r="A138" s="461">
        <f t="shared" si="76"/>
        <v>8</v>
      </c>
      <c r="B138" s="461" t="str">
        <f t="shared" si="77"/>
        <v>212</v>
      </c>
      <c r="C138" s="461" t="str">
        <f t="shared" si="77"/>
        <v>Wham!tramck</v>
      </c>
      <c r="D138" s="461">
        <f t="shared" ca="1" si="78"/>
        <v>0</v>
      </c>
      <c r="F138" s="472">
        <f t="shared" ca="1" si="79"/>
        <v>0</v>
      </c>
      <c r="G138" s="472">
        <f t="shared" ca="1" si="80"/>
        <v>1</v>
      </c>
      <c r="H138" s="472">
        <f t="shared" ca="1" si="79"/>
        <v>-12</v>
      </c>
      <c r="I138" s="472">
        <f t="shared" ca="1" si="79"/>
        <v>-12</v>
      </c>
      <c r="J138" s="461">
        <f t="shared" ca="1" si="81"/>
        <v>-23</v>
      </c>
      <c r="L138" s="461">
        <f t="shared" ca="1" si="82"/>
        <v>-23</v>
      </c>
      <c r="O138" s="461">
        <f t="shared" ca="1" si="83"/>
        <v>0</v>
      </c>
      <c r="Q138" s="461">
        <f t="shared" ca="1" si="84"/>
        <v>-23</v>
      </c>
      <c r="T138" s="461">
        <f t="shared" si="85"/>
        <v>8</v>
      </c>
      <c r="U138" s="461" t="str">
        <f t="shared" si="86"/>
        <v>620</v>
      </c>
      <c r="V138" s="461" t="str">
        <f t="shared" si="86"/>
        <v>Lazer Beam</v>
      </c>
      <c r="W138" s="461">
        <f t="shared" ca="1" si="87"/>
        <v>0</v>
      </c>
      <c r="Y138" s="472">
        <f t="shared" ca="1" si="88"/>
        <v>0</v>
      </c>
      <c r="Z138" s="472">
        <f t="shared" ca="1" si="89"/>
        <v>0</v>
      </c>
      <c r="AA138" s="472">
        <f t="shared" ca="1" si="89"/>
        <v>0</v>
      </c>
      <c r="AB138" s="472">
        <f t="shared" ca="1" si="89"/>
        <v>0</v>
      </c>
      <c r="AC138" s="461">
        <f t="shared" ca="1" si="93"/>
        <v>0</v>
      </c>
      <c r="AE138" s="461">
        <f t="shared" ca="1" si="90"/>
        <v>0</v>
      </c>
      <c r="AH138" s="461">
        <f t="shared" ca="1" si="91"/>
        <v>4</v>
      </c>
      <c r="AJ138" s="461">
        <f t="shared" ca="1" si="92"/>
        <v>4</v>
      </c>
    </row>
    <row r="139" spans="1:37">
      <c r="A139" s="94">
        <f t="shared" si="76"/>
        <v>9</v>
      </c>
      <c r="B139" s="94" t="str">
        <f t="shared" si="77"/>
        <v>33 1/3</v>
      </c>
      <c r="C139" s="94" t="str">
        <f t="shared" si="77"/>
        <v>Cookie Rumble</v>
      </c>
      <c r="D139" s="94">
        <f t="shared" ca="1" si="78"/>
        <v>1</v>
      </c>
      <c r="F139" s="472">
        <f t="shared" ca="1" si="79"/>
        <v>0</v>
      </c>
      <c r="G139" s="472">
        <f t="shared" ca="1" si="80"/>
        <v>-10</v>
      </c>
      <c r="H139" s="472">
        <f t="shared" ca="1" si="79"/>
        <v>11</v>
      </c>
      <c r="I139" s="472">
        <f t="shared" ca="1" si="79"/>
        <v>-16</v>
      </c>
      <c r="J139" s="94">
        <f t="shared" ca="1" si="81"/>
        <v>-15</v>
      </c>
      <c r="L139" s="94">
        <f t="shared" ca="1" si="82"/>
        <v>-14</v>
      </c>
      <c r="O139" s="94">
        <f t="shared" ca="1" si="83"/>
        <v>19</v>
      </c>
      <c r="Q139" s="94">
        <f t="shared" ca="1" si="84"/>
        <v>5</v>
      </c>
      <c r="T139" s="94">
        <f t="shared" si="85"/>
        <v>9</v>
      </c>
      <c r="U139" s="94" t="str">
        <f t="shared" si="86"/>
        <v>7</v>
      </c>
      <c r="V139" s="94" t="str">
        <f t="shared" si="86"/>
        <v>CottonCandy Princess</v>
      </c>
      <c r="W139" s="94">
        <f t="shared" ca="1" si="87"/>
        <v>0</v>
      </c>
      <c r="Y139" s="472">
        <f t="shared" ca="1" si="88"/>
        <v>0</v>
      </c>
      <c r="Z139" s="472">
        <f t="shared" ca="1" si="89"/>
        <v>-1</v>
      </c>
      <c r="AA139" s="472">
        <f t="shared" ca="1" si="89"/>
        <v>9</v>
      </c>
      <c r="AB139" s="472">
        <f t="shared" ca="1" si="89"/>
        <v>-7</v>
      </c>
      <c r="AC139" s="94">
        <f t="shared" ca="1" si="93"/>
        <v>1</v>
      </c>
      <c r="AE139" s="94">
        <f t="shared" ca="1" si="90"/>
        <v>1</v>
      </c>
      <c r="AH139" s="94">
        <f t="shared" ca="1" si="91"/>
        <v>0</v>
      </c>
      <c r="AJ139" s="94">
        <f t="shared" ca="1" si="92"/>
        <v>1</v>
      </c>
    </row>
    <row r="140" spans="1:37">
      <c r="A140" s="461">
        <f t="shared" si="76"/>
        <v>10</v>
      </c>
      <c r="B140" s="461" t="str">
        <f t="shared" si="77"/>
        <v>428</v>
      </c>
      <c r="C140" s="461" t="str">
        <f t="shared" si="77"/>
        <v>Freakin' Rican</v>
      </c>
      <c r="D140" s="461">
        <f t="shared" ca="1" si="78"/>
        <v>-9</v>
      </c>
      <c r="F140" s="472">
        <f t="shared" ca="1" si="79"/>
        <v>0</v>
      </c>
      <c r="G140" s="472">
        <f t="shared" ca="1" si="80"/>
        <v>0</v>
      </c>
      <c r="H140" s="472">
        <f t="shared" ca="1" si="79"/>
        <v>0</v>
      </c>
      <c r="I140" s="472">
        <f t="shared" ca="1" si="79"/>
        <v>0</v>
      </c>
      <c r="J140" s="461">
        <f t="shared" ca="1" si="81"/>
        <v>0</v>
      </c>
      <c r="L140" s="461">
        <f t="shared" ca="1" si="82"/>
        <v>-9</v>
      </c>
      <c r="O140" s="461">
        <f t="shared" ca="1" si="83"/>
        <v>-9</v>
      </c>
      <c r="Q140" s="461">
        <f t="shared" ca="1" si="84"/>
        <v>-18</v>
      </c>
      <c r="T140" s="461">
        <f t="shared" si="85"/>
        <v>10</v>
      </c>
      <c r="U140" s="461" t="str">
        <f t="shared" si="86"/>
        <v>72</v>
      </c>
      <c r="V140" s="461" t="str">
        <f t="shared" si="86"/>
        <v>Demonica Mars</v>
      </c>
      <c r="W140" s="461">
        <f t="shared" ca="1" si="87"/>
        <v>1</v>
      </c>
      <c r="Y140" s="472">
        <f t="shared" ca="1" si="88"/>
        <v>0</v>
      </c>
      <c r="Z140" s="472">
        <f t="shared" ca="1" si="89"/>
        <v>0</v>
      </c>
      <c r="AA140" s="472">
        <f t="shared" ca="1" si="89"/>
        <v>3</v>
      </c>
      <c r="AB140" s="472">
        <f t="shared" ca="1" si="89"/>
        <v>7</v>
      </c>
      <c r="AC140" s="461">
        <f t="shared" ca="1" si="93"/>
        <v>10</v>
      </c>
      <c r="AE140" s="461">
        <f t="shared" ca="1" si="90"/>
        <v>11</v>
      </c>
      <c r="AH140" s="461">
        <f t="shared" ca="1" si="91"/>
        <v>-13</v>
      </c>
      <c r="AJ140" s="461">
        <f t="shared" ca="1" si="92"/>
        <v>-2</v>
      </c>
    </row>
    <row r="141" spans="1:37">
      <c r="A141" s="94">
        <f t="shared" si="76"/>
        <v>11</v>
      </c>
      <c r="B141" s="94" t="str">
        <f t="shared" si="77"/>
        <v>6</v>
      </c>
      <c r="C141" s="94" t="str">
        <f t="shared" si="77"/>
        <v>Elle McFearsome</v>
      </c>
      <c r="D141" s="94">
        <f t="shared" ca="1" si="78"/>
        <v>16</v>
      </c>
      <c r="F141" s="472">
        <f t="shared" ca="1" si="79"/>
        <v>0</v>
      </c>
      <c r="G141" s="472">
        <f t="shared" ca="1" si="80"/>
        <v>0</v>
      </c>
      <c r="H141" s="472">
        <f t="shared" ca="1" si="79"/>
        <v>0</v>
      </c>
      <c r="I141" s="472">
        <f t="shared" ca="1" si="79"/>
        <v>0</v>
      </c>
      <c r="J141" s="94">
        <f t="shared" ca="1" si="81"/>
        <v>0</v>
      </c>
      <c r="L141" s="94">
        <f t="shared" ca="1" si="82"/>
        <v>16</v>
      </c>
      <c r="O141" s="94">
        <f t="shared" ca="1" si="83"/>
        <v>0</v>
      </c>
      <c r="Q141" s="94">
        <f t="shared" ca="1" si="84"/>
        <v>16</v>
      </c>
      <c r="T141" s="94">
        <f t="shared" si="85"/>
        <v>11</v>
      </c>
      <c r="U141" s="94" t="str">
        <f t="shared" si="86"/>
        <v>9.81</v>
      </c>
      <c r="V141" s="94" t="str">
        <f t="shared" si="86"/>
        <v>Uhura Belle Death</v>
      </c>
      <c r="W141" s="94">
        <f t="shared" ca="1" si="87"/>
        <v>0</v>
      </c>
      <c r="Y141" s="472">
        <f t="shared" ca="1" si="88"/>
        <v>0</v>
      </c>
      <c r="Z141" s="472">
        <f t="shared" ca="1" si="89"/>
        <v>0</v>
      </c>
      <c r="AA141" s="472">
        <f t="shared" ca="1" si="89"/>
        <v>0</v>
      </c>
      <c r="AB141" s="472">
        <f t="shared" ca="1" si="89"/>
        <v>0</v>
      </c>
      <c r="AC141" s="94">
        <f t="shared" ca="1" si="93"/>
        <v>0</v>
      </c>
      <c r="AE141" s="94">
        <f t="shared" ca="1" si="90"/>
        <v>0</v>
      </c>
      <c r="AH141" s="94">
        <f t="shared" ca="1" si="91"/>
        <v>7</v>
      </c>
      <c r="AJ141" s="94">
        <f t="shared" ca="1" si="92"/>
        <v>7</v>
      </c>
    </row>
    <row r="142" spans="1:37">
      <c r="A142" s="461">
        <f t="shared" si="76"/>
        <v>12</v>
      </c>
      <c r="B142" s="461" t="str">
        <f t="shared" si="77"/>
        <v>728</v>
      </c>
      <c r="C142" s="461" t="str">
        <f t="shared" si="77"/>
        <v>Combat Cat</v>
      </c>
      <c r="D142" s="461">
        <f t="shared" ca="1" si="78"/>
        <v>0</v>
      </c>
      <c r="F142" s="472">
        <f t="shared" ca="1" si="79"/>
        <v>0</v>
      </c>
      <c r="G142" s="472">
        <f t="shared" ca="1" si="80"/>
        <v>21</v>
      </c>
      <c r="H142" s="472">
        <f t="shared" ca="1" si="79"/>
        <v>8</v>
      </c>
      <c r="I142" s="472">
        <f t="shared" ca="1" si="79"/>
        <v>14</v>
      </c>
      <c r="J142" s="461">
        <f t="shared" ca="1" si="81"/>
        <v>43</v>
      </c>
      <c r="L142" s="461">
        <f t="shared" ca="1" si="82"/>
        <v>43</v>
      </c>
      <c r="O142" s="461">
        <f t="shared" ca="1" si="83"/>
        <v>-21</v>
      </c>
      <c r="Q142" s="461">
        <f t="shared" ca="1" si="84"/>
        <v>22</v>
      </c>
      <c r="T142" s="461">
        <f t="shared" si="85"/>
        <v>12</v>
      </c>
      <c r="U142" s="461" t="str">
        <f t="shared" si="86"/>
        <v>I-75</v>
      </c>
      <c r="V142" s="461" t="str">
        <f t="shared" si="86"/>
        <v>Diesel Doll</v>
      </c>
      <c r="W142" s="461">
        <f t="shared" ca="1" si="87"/>
        <v>-5</v>
      </c>
      <c r="Y142" s="472">
        <f t="shared" ca="1" si="88"/>
        <v>0</v>
      </c>
      <c r="Z142" s="472">
        <f t="shared" ca="1" si="89"/>
        <v>0</v>
      </c>
      <c r="AA142" s="472">
        <f t="shared" ca="1" si="89"/>
        <v>0</v>
      </c>
      <c r="AB142" s="472">
        <f t="shared" ca="1" si="89"/>
        <v>-13</v>
      </c>
      <c r="AC142" s="461">
        <f t="shared" ca="1" si="93"/>
        <v>-13</v>
      </c>
      <c r="AE142" s="461">
        <f t="shared" ca="1" si="90"/>
        <v>-18</v>
      </c>
      <c r="AH142" s="461">
        <f t="shared" ca="1" si="91"/>
        <v>0</v>
      </c>
      <c r="AJ142" s="461">
        <f t="shared" ca="1" si="92"/>
        <v>-18</v>
      </c>
    </row>
    <row r="143" spans="1:37">
      <c r="A143" s="94">
        <f t="shared" si="76"/>
        <v>13</v>
      </c>
      <c r="B143" s="94" t="str">
        <f t="shared" si="77"/>
        <v>80</v>
      </c>
      <c r="C143" s="94" t="str">
        <f t="shared" si="77"/>
        <v>Mean Streak</v>
      </c>
      <c r="D143" s="94">
        <f t="shared" ca="1" si="78"/>
        <v>0</v>
      </c>
      <c r="F143" s="472">
        <f t="shared" ca="1" si="79"/>
        <v>0</v>
      </c>
      <c r="G143" s="472">
        <f t="shared" ca="1" si="80"/>
        <v>-4</v>
      </c>
      <c r="H143" s="472">
        <f t="shared" ca="1" si="79"/>
        <v>13</v>
      </c>
      <c r="I143" s="472">
        <f t="shared" ca="1" si="79"/>
        <v>0</v>
      </c>
      <c r="J143" s="94">
        <f t="shared" ca="1" si="81"/>
        <v>9</v>
      </c>
      <c r="L143" s="94">
        <f t="shared" ca="1" si="82"/>
        <v>9</v>
      </c>
      <c r="O143" s="94">
        <f t="shared" ca="1" si="83"/>
        <v>2</v>
      </c>
      <c r="Q143" s="94">
        <f t="shared" ca="1" si="84"/>
        <v>11</v>
      </c>
      <c r="T143" s="94">
        <f t="shared" si="85"/>
        <v>13</v>
      </c>
      <c r="U143" s="94" t="str">
        <f t="shared" si="86"/>
        <v>N2O</v>
      </c>
      <c r="V143" s="94" t="str">
        <f t="shared" si="86"/>
        <v>Cool Whip</v>
      </c>
      <c r="W143" s="94">
        <f t="shared" ca="1" si="87"/>
        <v>28</v>
      </c>
      <c r="Y143" s="472">
        <f t="shared" ca="1" si="88"/>
        <v>0</v>
      </c>
      <c r="Z143" s="472">
        <f t="shared" ca="1" si="89"/>
        <v>-10</v>
      </c>
      <c r="AA143" s="472">
        <f t="shared" ca="1" si="89"/>
        <v>-13</v>
      </c>
      <c r="AB143" s="472">
        <f t="shared" ca="1" si="89"/>
        <v>4</v>
      </c>
      <c r="AC143" s="94">
        <f t="shared" ca="1" si="93"/>
        <v>-19</v>
      </c>
      <c r="AE143" s="94">
        <f t="shared" ca="1" si="90"/>
        <v>9</v>
      </c>
      <c r="AH143" s="94">
        <f t="shared" ca="1" si="91"/>
        <v>0</v>
      </c>
      <c r="AJ143" s="94">
        <f t="shared" ca="1" si="92"/>
        <v>9</v>
      </c>
    </row>
    <row r="144" spans="1:37">
      <c r="A144" s="461">
        <f t="shared" si="76"/>
        <v>14</v>
      </c>
      <c r="B144" s="461" t="str">
        <f t="shared" si="77"/>
        <v>9.99</v>
      </c>
      <c r="C144" s="461" t="str">
        <f t="shared" si="77"/>
        <v>U.S.S. DentHerPrize</v>
      </c>
      <c r="D144" s="461">
        <f t="shared" ca="1" si="78"/>
        <v>0</v>
      </c>
      <c r="F144" s="472">
        <f t="shared" ca="1" si="79"/>
        <v>0</v>
      </c>
      <c r="G144" s="472">
        <f t="shared" ca="1" si="80"/>
        <v>0</v>
      </c>
      <c r="H144" s="472">
        <f t="shared" ca="1" si="79"/>
        <v>0</v>
      </c>
      <c r="I144" s="472">
        <f t="shared" ca="1" si="79"/>
        <v>0</v>
      </c>
      <c r="J144" s="461">
        <f t="shared" ca="1" si="81"/>
        <v>0</v>
      </c>
      <c r="L144" s="461">
        <f t="shared" ca="1" si="82"/>
        <v>0</v>
      </c>
      <c r="O144" s="461">
        <f t="shared" ca="1" si="83"/>
        <v>0</v>
      </c>
      <c r="Q144" s="461">
        <f t="shared" ca="1" si="84"/>
        <v>0</v>
      </c>
      <c r="T144" s="461">
        <f t="shared" si="85"/>
        <v>14</v>
      </c>
      <c r="U144" s="461" t="str">
        <f t="shared" si="86"/>
        <v>W00T</v>
      </c>
      <c r="V144" s="461" t="str">
        <f t="shared" si="86"/>
        <v>Genniferal</v>
      </c>
      <c r="W144" s="461">
        <f t="shared" ca="1" si="87"/>
        <v>-14</v>
      </c>
      <c r="Y144" s="472">
        <f t="shared" ca="1" si="88"/>
        <v>0</v>
      </c>
      <c r="Z144" s="472">
        <f t="shared" ca="1" si="89"/>
        <v>25</v>
      </c>
      <c r="AA144" s="472">
        <f t="shared" ca="1" si="89"/>
        <v>4</v>
      </c>
      <c r="AB144" s="472">
        <f t="shared" ca="1" si="89"/>
        <v>22</v>
      </c>
      <c r="AC144" s="461">
        <f t="shared" ca="1" si="93"/>
        <v>51</v>
      </c>
      <c r="AE144" s="461">
        <f t="shared" ca="1" si="90"/>
        <v>37</v>
      </c>
      <c r="AH144" s="461">
        <f t="shared" ca="1" si="91"/>
        <v>1</v>
      </c>
      <c r="AJ144" s="461">
        <f t="shared" ca="1" si="92"/>
        <v>38</v>
      </c>
    </row>
    <row r="145" spans="1:37">
      <c r="A145" s="94">
        <f t="shared" si="76"/>
        <v>15</v>
      </c>
      <c r="B145" s="94" t="str">
        <f t="shared" si="77"/>
        <v>F14</v>
      </c>
      <c r="C145" s="94" t="str">
        <f t="shared" si="77"/>
        <v>Apertorture</v>
      </c>
      <c r="D145" s="94">
        <f t="shared" ca="1" si="78"/>
        <v>0</v>
      </c>
      <c r="F145" s="472">
        <f t="shared" ca="1" si="79"/>
        <v>0</v>
      </c>
      <c r="G145" s="472">
        <f t="shared" ca="1" si="80"/>
        <v>0</v>
      </c>
      <c r="H145" s="472">
        <f t="shared" ca="1" si="79"/>
        <v>-5</v>
      </c>
      <c r="I145" s="472">
        <f t="shared" ca="1" si="79"/>
        <v>0</v>
      </c>
      <c r="J145" s="94">
        <f t="shared" ca="1" si="81"/>
        <v>-5</v>
      </c>
      <c r="L145" s="94">
        <f t="shared" ca="1" si="82"/>
        <v>-5</v>
      </c>
      <c r="O145" s="94">
        <f t="shared" ca="1" si="83"/>
        <v>0</v>
      </c>
      <c r="Q145" s="94">
        <f t="shared" ca="1" si="84"/>
        <v>-5</v>
      </c>
      <c r="T145" s="94">
        <f t="shared" si="85"/>
        <v>15</v>
      </c>
      <c r="U145" s="94" t="str">
        <f t="shared" si="86"/>
        <v>Z28</v>
      </c>
      <c r="V145" s="94" t="str">
        <f t="shared" si="86"/>
        <v>V8 Nightmare</v>
      </c>
      <c r="W145" s="94">
        <f t="shared" ca="1" si="87"/>
        <v>0</v>
      </c>
      <c r="Y145" s="472">
        <f t="shared" ca="1" si="88"/>
        <v>0</v>
      </c>
      <c r="Z145" s="472">
        <f t="shared" ca="1" si="89"/>
        <v>0</v>
      </c>
      <c r="AA145" s="472">
        <f t="shared" ca="1" si="89"/>
        <v>-8</v>
      </c>
      <c r="AB145" s="472">
        <f t="shared" ca="1" si="89"/>
        <v>3</v>
      </c>
      <c r="AC145" s="94">
        <f t="shared" ca="1" si="93"/>
        <v>-5</v>
      </c>
      <c r="AE145" s="94">
        <f t="shared" ca="1" si="90"/>
        <v>-5</v>
      </c>
      <c r="AH145" s="94">
        <f t="shared" ca="1" si="91"/>
        <v>0</v>
      </c>
      <c r="AJ145" s="94">
        <f t="shared" ca="1" si="92"/>
        <v>-5</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43" t="s">
        <v>351</v>
      </c>
      <c r="B152" s="1343"/>
      <c r="C152" s="1343"/>
      <c r="D152" s="309"/>
      <c r="E152" s="309"/>
      <c r="F152" s="309"/>
      <c r="G152" s="309"/>
      <c r="H152" s="309"/>
      <c r="I152" s="309"/>
      <c r="J152" s="309"/>
      <c r="K152" s="309"/>
      <c r="L152" s="309"/>
      <c r="M152" s="309"/>
      <c r="N152" s="309"/>
      <c r="O152" s="309"/>
      <c r="P152" s="309"/>
      <c r="Q152" s="309"/>
      <c r="R152" s="309"/>
      <c r="T152" s="1343" t="s">
        <v>351</v>
      </c>
      <c r="U152" s="1343"/>
      <c r="V152" s="1343"/>
      <c r="W152" s="309"/>
      <c r="X152" s="309"/>
      <c r="Y152" s="309"/>
      <c r="Z152" s="309"/>
      <c r="AA152" s="309"/>
      <c r="AB152" s="309"/>
      <c r="AC152" s="309"/>
      <c r="AD152" s="309"/>
      <c r="AE152" s="309"/>
      <c r="AF152" s="309"/>
      <c r="AG152" s="309"/>
      <c r="AH152" s="309"/>
      <c r="AI152" s="309"/>
      <c r="AJ152" s="309"/>
      <c r="AK152" s="309"/>
    </row>
    <row r="153" spans="1:37">
      <c r="A153" s="466">
        <v>0</v>
      </c>
      <c r="B153" s="466" t="s">
        <v>202</v>
      </c>
      <c r="C153" s="466" t="s">
        <v>203</v>
      </c>
      <c r="D153" s="466" t="s">
        <v>187</v>
      </c>
      <c r="E153" s="302"/>
      <c r="F153" s="471" t="s">
        <v>189</v>
      </c>
      <c r="G153" s="471" t="s">
        <v>189</v>
      </c>
      <c r="H153" s="471" t="s">
        <v>189</v>
      </c>
      <c r="I153" s="471" t="s">
        <v>189</v>
      </c>
      <c r="J153" s="466" t="s">
        <v>212</v>
      </c>
      <c r="K153" s="302"/>
      <c r="L153" s="466" t="s">
        <v>214</v>
      </c>
      <c r="M153" s="302"/>
      <c r="N153" s="468" t="s">
        <v>29</v>
      </c>
      <c r="O153" s="466" t="s">
        <v>190</v>
      </c>
      <c r="P153" s="302"/>
      <c r="Q153" s="466" t="s">
        <v>23</v>
      </c>
      <c r="R153" s="302"/>
      <c r="T153" s="466">
        <v>0</v>
      </c>
      <c r="U153" s="466" t="s">
        <v>202</v>
      </c>
      <c r="V153" s="466" t="s">
        <v>203</v>
      </c>
      <c r="W153" s="466" t="s">
        <v>187</v>
      </c>
      <c r="X153" s="302"/>
      <c r="Y153" s="471" t="s">
        <v>189</v>
      </c>
      <c r="Z153" s="471" t="s">
        <v>189</v>
      </c>
      <c r="AA153" s="471" t="s">
        <v>189</v>
      </c>
      <c r="AB153" s="471" t="s">
        <v>189</v>
      </c>
      <c r="AC153" s="466" t="s">
        <v>212</v>
      </c>
      <c r="AD153" s="302"/>
      <c r="AE153" s="466" t="s">
        <v>214</v>
      </c>
      <c r="AF153" s="302"/>
      <c r="AG153" s="468" t="s">
        <v>29</v>
      </c>
      <c r="AH153" s="466" t="s">
        <v>190</v>
      </c>
      <c r="AI153" s="302"/>
      <c r="AJ153" s="466" t="s">
        <v>23</v>
      </c>
      <c r="AK153" s="302"/>
    </row>
    <row r="154" spans="1:37">
      <c r="A154" s="94">
        <f t="shared" ref="A154:A173" si="94">A153+1</f>
        <v>1</v>
      </c>
      <c r="B154" s="94" t="str">
        <f t="shared" ref="B154:C173" si="95">B108</f>
        <v>138</v>
      </c>
      <c r="C154" s="94" t="str">
        <f t="shared" si="95"/>
        <v>Mag Pie</v>
      </c>
      <c r="D154" s="94">
        <f ca="1">IF($B154="","",SUMPRODUCT(--(Lineups!F$88:F$163=$B154),--(Lineups!B$88:B$163=""),Lineups!$S$88:$S$163))</f>
        <v>0</v>
      </c>
      <c r="F154" s="472">
        <f ca="1">IF($B154="","",SUMPRODUCT(--(Lineups!F$88:F$163=$B154),--(Lineups!B$88:B$163="X"),Lineups!$S$88:$S$163))</f>
        <v>0</v>
      </c>
      <c r="G154" s="472">
        <f ca="1">IF($B154="","",SUMPRODUCT(--(Lineups!$I$88:$I$163=$B154),Lineups!$S$88:$S$163))</f>
        <v>8</v>
      </c>
      <c r="H154" s="472">
        <f ca="1">IF($B154="","",SUMPRODUCT(--(Lineups!$L$88:$L$163=$B154),Lineups!$S$88:$S$163))</f>
        <v>10</v>
      </c>
      <c r="I154" s="472">
        <f ca="1">IF($B154="","",SUMPRODUCT(--(Lineups!$O$88:$O$163=$B154),Lineups!$S$88:$S$163))</f>
        <v>0</v>
      </c>
      <c r="J154" s="94">
        <f t="shared" ref="J154:J173" ca="1" si="96">IF(B154="","",SUM(F154:I154))</f>
        <v>18</v>
      </c>
      <c r="L154" s="94">
        <f t="shared" ref="L154:L173" ca="1" si="97">IF(B154="","",SUM(D154,J154))</f>
        <v>18</v>
      </c>
      <c r="O154" s="94">
        <f ca="1">IF($B154="","",SUMPRODUCT(--(Lineups!$C$88:$C$163=$B154),Lineups!$S$88:$S$163))</f>
        <v>0</v>
      </c>
      <c r="Q154" s="94">
        <f t="shared" ref="Q154:Q173" ca="1" si="98">IF(B154="","",SUM(L154,O154))</f>
        <v>18</v>
      </c>
      <c r="T154" s="94">
        <f t="shared" ref="T154:T173" si="99">T153+1</f>
        <v>1</v>
      </c>
      <c r="U154" s="94" t="str">
        <f t="shared" ref="U154:V173" si="100">U108</f>
        <v>182</v>
      </c>
      <c r="V154" s="94" t="str">
        <f t="shared" si="100"/>
        <v>Travis Blocker</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21</v>
      </c>
      <c r="AB154" s="472">
        <f ca="1">IF($U154="","",SUMPRODUCT(--(Lineups!$AK$88:$AK$163=$U154),Lineups!$AO$88:$AO$163))</f>
        <v>0</v>
      </c>
      <c r="AC154" s="94">
        <f t="shared" ref="AC154:AC173" ca="1" si="101">IF(U154="",0,SUM(Y154:AB154))</f>
        <v>21</v>
      </c>
      <c r="AE154" s="94">
        <f t="shared" ref="AE154:AE173" ca="1" si="102">IF(U154="","",SUM(W154,AC154))</f>
        <v>21</v>
      </c>
      <c r="AH154" s="94">
        <f ca="1">IF($U154="","",SUMPRODUCT(--(Lineups!$Y$88:$Y$163=$U154),Lineups!$AO$88:$AO$163))</f>
        <v>0</v>
      </c>
      <c r="AJ154" s="94">
        <f t="shared" ref="AJ154:AJ173" ca="1" si="103">IF(U154="","",SUM(AE154,AH154))</f>
        <v>21</v>
      </c>
    </row>
    <row r="155" spans="1:37">
      <c r="A155" s="461">
        <f t="shared" si="94"/>
        <v>2</v>
      </c>
      <c r="B155" s="461" t="str">
        <f t="shared" si="95"/>
        <v>181</v>
      </c>
      <c r="C155" s="461" t="str">
        <f t="shared" si="95"/>
        <v>Vega Vendetta</v>
      </c>
      <c r="D155" s="461">
        <f ca="1">IF($B155="","",SUMPRODUCT(--(Lineups!F$88:F$163=$B155),--(Lineups!B$88:B$163=""),Lineups!$S$88:$S$163))</f>
        <v>0</v>
      </c>
      <c r="F155" s="472">
        <f ca="1">IF($B155="","",SUMPRODUCT(--(Lineups!F$88:F$163=$B155),--(Lineups!B$88:B$163="X"),Lineups!$S$88:$S$163))</f>
        <v>0</v>
      </c>
      <c r="G155" s="472">
        <f ca="1">IF($B155="","",SUMPRODUCT(--(Lineups!$I$88:$I$163=$B155),Lineups!$S$88:$S$163))</f>
        <v>21</v>
      </c>
      <c r="H155" s="472">
        <f ca="1">IF($B155="","",SUMPRODUCT(--(Lineups!$L$88:$L$163=$B155),Lineups!$S$88:$S$163))</f>
        <v>4</v>
      </c>
      <c r="I155" s="472">
        <f ca="1">IF($B155="","",SUMPRODUCT(--(Lineups!$O$88:$O$163=$B155),Lineups!$S$88:$S$163))</f>
        <v>10</v>
      </c>
      <c r="J155" s="461">
        <f t="shared" ca="1" si="96"/>
        <v>35</v>
      </c>
      <c r="L155" s="461">
        <f t="shared" ca="1" si="97"/>
        <v>35</v>
      </c>
      <c r="O155" s="461">
        <f ca="1">IF($B155="","",SUMPRODUCT(--(Lineups!$C$88:$C$163=$B155),Lineups!$S$88:$S$163))</f>
        <v>0</v>
      </c>
      <c r="Q155" s="461">
        <f t="shared" ca="1" si="98"/>
        <v>35</v>
      </c>
      <c r="T155" s="461">
        <f t="shared" si="99"/>
        <v>2</v>
      </c>
      <c r="U155" s="461" t="str">
        <f t="shared" si="100"/>
        <v>2¢</v>
      </c>
      <c r="V155" s="461" t="str">
        <f t="shared" si="100"/>
        <v>Vera Toss</v>
      </c>
      <c r="W155" s="461">
        <f ca="1">IF($U155="","",SUMPRODUCT(--(Lineups!$AB$88:$AB$163=$U155),--(Lineups!$X$88:$X$163=""),Lineups!$AO$88:$AO$163))</f>
        <v>0</v>
      </c>
      <c r="Y155" s="472">
        <f ca="1">IF($U155="","",SUMPRODUCT(--(Lineups!$AB$88:$AB$163=$U155),--(Lineups!$X$88:$X$163="X"),Lineups!$AO$88:$AO$163))</f>
        <v>0</v>
      </c>
      <c r="Z155" s="472">
        <f ca="1">IF($U155="","",SUMPRODUCT(--(Lineups!$AE$88:$AE$163=$U155),Lineups!$AO$88:$AO$163))</f>
        <v>3</v>
      </c>
      <c r="AA155" s="472">
        <f ca="1">IF($U155="","",SUMPRODUCT(--(Lineups!$AH$88:$AH$163=$U155),Lineups!$AO$88:$AO$163))</f>
        <v>4</v>
      </c>
      <c r="AB155" s="472">
        <f ca="1">IF($U155="","",SUMPRODUCT(--(Lineups!$AK$88:$AK$163=$U155),Lineups!$AO$88:$AO$163))</f>
        <v>15</v>
      </c>
      <c r="AC155" s="461">
        <f t="shared" ca="1" si="101"/>
        <v>22</v>
      </c>
      <c r="AE155" s="461">
        <f t="shared" ca="1" si="102"/>
        <v>22</v>
      </c>
      <c r="AH155" s="461">
        <f ca="1">IF($U155="","",SUMPRODUCT(--(Lineups!$Y$88:$Y$163=$U155),Lineups!$AO$88:$AO$163))</f>
        <v>0</v>
      </c>
      <c r="AJ155" s="461">
        <f t="shared" ca="1" si="103"/>
        <v>22</v>
      </c>
    </row>
    <row r="156" spans="1:37">
      <c r="A156" s="94">
        <f t="shared" si="94"/>
        <v>3</v>
      </c>
      <c r="B156" s="94" t="str">
        <f t="shared" si="95"/>
        <v>1821</v>
      </c>
      <c r="C156" s="94" t="str">
        <f t="shared" si="95"/>
        <v>Mexi-Go</v>
      </c>
      <c r="D156" s="94">
        <f ca="1">IF($B156="","",SUMPRODUCT(--(Lineups!F$88:F$163=$B156),--(Lineups!B$88:B$163=""),Lineups!$S$88:$S$163))</f>
        <v>0</v>
      </c>
      <c r="F156" s="472">
        <f ca="1">IF($B156="","",SUMPRODUCT(--(Lineups!F$88:F$163=$B156),--(Lineups!B$88:B$163="X"),Lineups!$S$88:$S$163))</f>
        <v>0</v>
      </c>
      <c r="G156" s="472">
        <f ca="1">IF($B156="","",SUMPRODUCT(--(Lineups!$I$88:$I$163=$B156),Lineups!$S$88:$S$163))</f>
        <v>8</v>
      </c>
      <c r="H156" s="472">
        <f ca="1">IF($B156="","",SUMPRODUCT(--(Lineups!$L$88:$L$163=$B156),Lineups!$S$88:$S$163))</f>
        <v>0</v>
      </c>
      <c r="I156" s="472">
        <f ca="1">IF($B156="","",SUMPRODUCT(--(Lineups!$O$88:$O$163=$B156),Lineups!$S$88:$S$163))</f>
        <v>25</v>
      </c>
      <c r="J156" s="94">
        <f t="shared" ca="1" si="96"/>
        <v>33</v>
      </c>
      <c r="L156" s="94">
        <f t="shared" ca="1" si="97"/>
        <v>33</v>
      </c>
      <c r="O156" s="94">
        <f ca="1">IF($B156="","",SUMPRODUCT(--(Lineups!$C$88:$C$163=$B156),Lineups!$S$88:$S$163))</f>
        <v>0</v>
      </c>
      <c r="Q156" s="94">
        <f t="shared" ca="1" si="98"/>
        <v>33</v>
      </c>
      <c r="T156" s="94">
        <f t="shared" si="99"/>
        <v>3</v>
      </c>
      <c r="U156" s="94" t="str">
        <f t="shared" si="100"/>
        <v>24/7</v>
      </c>
      <c r="V156" s="94" t="str">
        <f t="shared" si="100"/>
        <v>boo d. livers</v>
      </c>
      <c r="W156" s="94">
        <f ca="1">IF($U156="","",SUMPRODUCT(--(Lineups!$AB$88:$AB$163=$U156),--(Lineups!$X$88:$X$163=""),Lineups!$AO$88:$AO$163))</f>
        <v>0</v>
      </c>
      <c r="Y156" s="472">
        <f ca="1">IF($U156="","",SUMPRODUCT(--(Lineups!$AB$88:$AB$163=$U156),--(Lineups!$X$88:$X$163="X"),Lineups!$AO$88:$AO$163))</f>
        <v>0</v>
      </c>
      <c r="Z156" s="472">
        <f ca="1">IF($U156="","",SUMPRODUCT(--(Lineups!$AE$88:$AE$163=$U156),Lineups!$AO$88:$AO$163))</f>
        <v>17</v>
      </c>
      <c r="AA156" s="472">
        <f ca="1">IF($U156="","",SUMPRODUCT(--(Lineups!$AH$88:$AH$163=$U156),Lineups!$AO$88:$AO$163))</f>
        <v>6</v>
      </c>
      <c r="AB156" s="472">
        <f ca="1">IF($U156="","",SUMPRODUCT(--(Lineups!$AK$88:$AK$163=$U156),Lineups!$AO$88:$AO$163))</f>
        <v>5</v>
      </c>
      <c r="AC156" s="94">
        <f t="shared" ca="1" si="101"/>
        <v>28</v>
      </c>
      <c r="AE156" s="94">
        <f t="shared" ca="1" si="102"/>
        <v>28</v>
      </c>
      <c r="AH156" s="94">
        <f ca="1">IF($U156="","",SUMPRODUCT(--(Lineups!$Y$88:$Y$163=$U156),Lineups!$AO$88:$AO$163))</f>
        <v>0</v>
      </c>
      <c r="AJ156" s="94">
        <f t="shared" ca="1" si="103"/>
        <v>28</v>
      </c>
    </row>
    <row r="157" spans="1:37">
      <c r="A157" s="461">
        <f t="shared" si="94"/>
        <v>4</v>
      </c>
      <c r="B157" s="461" t="str">
        <f t="shared" si="95"/>
        <v>187</v>
      </c>
      <c r="C157" s="461" t="str">
        <f t="shared" si="95"/>
        <v>VeroniKILL</v>
      </c>
      <c r="D157" s="461">
        <f ca="1">IF($B157="","",SUMPRODUCT(--(Lineups!F$88:F$163=$B157),--(Lineups!B$88:B$163=""),Lineups!$S$88:$S$163))</f>
        <v>0</v>
      </c>
      <c r="F157" s="472">
        <f ca="1">IF($B157="","",SUMPRODUCT(--(Lineups!F$88:F$163=$B157),--(Lineups!B$88:B$163="X"),Lineups!$S$88:$S$163))</f>
        <v>0</v>
      </c>
      <c r="G157" s="472">
        <f ca="1">IF($B157="","",SUMPRODUCT(--(Lineups!$I$88:$I$163=$B157),Lineups!$S$88:$S$163))</f>
        <v>0</v>
      </c>
      <c r="H157" s="472">
        <f ca="1">IF($B157="","",SUMPRODUCT(--(Lineups!$L$88:$L$163=$B157),Lineups!$S$88:$S$163))</f>
        <v>2</v>
      </c>
      <c r="I157" s="472">
        <f ca="1">IF($B157="","",SUMPRODUCT(--(Lineups!$O$88:$O$163=$B157),Lineups!$S$88:$S$163))</f>
        <v>8</v>
      </c>
      <c r="J157" s="461">
        <f t="shared" ca="1" si="96"/>
        <v>10</v>
      </c>
      <c r="L157" s="461">
        <f t="shared" ca="1" si="97"/>
        <v>10</v>
      </c>
      <c r="O157" s="461">
        <f ca="1">IF($B157="","",SUMPRODUCT(--(Lineups!$C$88:$C$163=$B157),Lineups!$S$88:$S$163))</f>
        <v>0</v>
      </c>
      <c r="Q157" s="461">
        <f t="shared" ca="1" si="98"/>
        <v>10</v>
      </c>
      <c r="T157" s="461">
        <f t="shared" si="99"/>
        <v>4</v>
      </c>
      <c r="U157" s="461" t="str">
        <f t="shared" si="100"/>
        <v>27</v>
      </c>
      <c r="V157" s="461" t="str">
        <f t="shared" si="100"/>
        <v>A.O. Lesgo</v>
      </c>
      <c r="W157" s="461">
        <f ca="1">IF($U157="","",SUMPRODUCT(--(Lineups!$AB$88:$AB$163=$U157),--(Lineups!$X$88:$X$163=""),Lineups!$AO$88:$AO$163))</f>
        <v>0</v>
      </c>
      <c r="Y157" s="472">
        <f ca="1">IF($U157="","",SUMPRODUCT(--(Lineups!$AB$88:$AB$163=$U157),--(Lineups!$X$88:$X$163="X"),Lineups!$AO$88:$AO$163))</f>
        <v>0</v>
      </c>
      <c r="Z157" s="472">
        <f ca="1">IF($U157="","",SUMPRODUCT(--(Lineups!$AE$88:$AE$163=$U157),Lineups!$AO$88:$AO$163))</f>
        <v>1</v>
      </c>
      <c r="AA157" s="472">
        <f ca="1">IF($U157="","",SUMPRODUCT(--(Lineups!$AH$88:$AH$163=$U157),Lineups!$AO$88:$AO$163))</f>
        <v>5</v>
      </c>
      <c r="AB157" s="472">
        <f ca="1">IF($U157="","",SUMPRODUCT(--(Lineups!$AK$88:$AK$163=$U157),Lineups!$AO$88:$AO$163))</f>
        <v>0</v>
      </c>
      <c r="AC157" s="461">
        <f t="shared" ca="1" si="101"/>
        <v>6</v>
      </c>
      <c r="AE157" s="461">
        <f t="shared" ca="1" si="102"/>
        <v>6</v>
      </c>
      <c r="AH157" s="461">
        <f ca="1">IF($U157="","",SUMPRODUCT(--(Lineups!$Y$88:$Y$163=$U157),Lineups!$AO$88:$AO$163))</f>
        <v>0</v>
      </c>
      <c r="AJ157" s="461">
        <f t="shared" ca="1" si="103"/>
        <v>6</v>
      </c>
    </row>
    <row r="158" spans="1:37">
      <c r="A158" s="94">
        <f t="shared" si="94"/>
        <v>5</v>
      </c>
      <c r="B158" s="94" t="str">
        <f t="shared" si="95"/>
        <v>1879</v>
      </c>
      <c r="C158" s="94" t="str">
        <f t="shared" si="95"/>
        <v>Belle Isle Hurtya</v>
      </c>
      <c r="D158" s="94">
        <f ca="1">IF($B158="","",SUMPRODUCT(--(Lineups!F$88:F$163=$B158),--(Lineups!B$88:B$163=""),Lineups!$S$88:$S$163))</f>
        <v>0</v>
      </c>
      <c r="F158" s="472">
        <f ca="1">IF($B158="","",SUMPRODUCT(--(Lineups!F$88:F$163=$B158),--(Lineups!B$88:B$163="X"),Lineups!$S$88:$S$163))</f>
        <v>0</v>
      </c>
      <c r="G158" s="472">
        <f ca="1">IF($B158="","",SUMPRODUCT(--(Lineups!$I$88:$I$163=$B158),Lineups!$S$88:$S$163))</f>
        <v>0</v>
      </c>
      <c r="H158" s="472">
        <f ca="1">IF($B158="","",SUMPRODUCT(--(Lineups!$L$88:$L$163=$B158),Lineups!$S$88:$S$163))</f>
        <v>0</v>
      </c>
      <c r="I158" s="472">
        <f ca="1">IF($B158="","",SUMPRODUCT(--(Lineups!$O$88:$O$163=$B158),Lineups!$S$88:$S$163))</f>
        <v>0</v>
      </c>
      <c r="J158" s="94">
        <f t="shared" ca="1" si="96"/>
        <v>0</v>
      </c>
      <c r="L158" s="94">
        <f t="shared" ca="1" si="97"/>
        <v>0</v>
      </c>
      <c r="O158" s="94">
        <f ca="1">IF($B158="","",SUMPRODUCT(--(Lineups!$C$88:$C$163=$B158),Lineups!$S$88:$S$163))</f>
        <v>0</v>
      </c>
      <c r="Q158" s="94">
        <f t="shared" ca="1" si="98"/>
        <v>0</v>
      </c>
      <c r="T158" s="94">
        <f t="shared" si="99"/>
        <v>5</v>
      </c>
      <c r="U158" s="94" t="str">
        <f t="shared" si="100"/>
        <v>38DD</v>
      </c>
      <c r="V158" s="94" t="str">
        <f t="shared" si="100"/>
        <v>Tig O' Hitties</v>
      </c>
      <c r="W158" s="94">
        <f ca="1">IF($U158="","",SUMPRODUCT(--(Lineups!$AB$88:$AB$163=$U158),--(Lineups!$X$88:$X$163=""),Lineups!$AO$88:$AO$163))</f>
        <v>0</v>
      </c>
      <c r="Y158" s="472">
        <f ca="1">IF($U158="","",SUMPRODUCT(--(Lineups!$AB$88:$AB$163=$U158),--(Lineups!$X$88:$X$163="X"),Lineups!$AO$88:$AO$163))</f>
        <v>0</v>
      </c>
      <c r="Z158" s="472">
        <f ca="1">IF($U158="","",SUMPRODUCT(--(Lineups!$AE$88:$AE$163=$U158),Lineups!$AO$88:$AO$163))</f>
        <v>0</v>
      </c>
      <c r="AA158" s="472">
        <f ca="1">IF($U158="","",SUMPRODUCT(--(Lineups!$AH$88:$AH$163=$U158),Lineups!$AO$88:$AO$163))</f>
        <v>14</v>
      </c>
      <c r="AB158" s="472">
        <f ca="1">IF($U158="","",SUMPRODUCT(--(Lineups!$AK$88:$AK$163=$U158),Lineups!$AO$88:$AO$163))</f>
        <v>9</v>
      </c>
      <c r="AC158" s="94">
        <f t="shared" ca="1" si="101"/>
        <v>23</v>
      </c>
      <c r="AE158" s="94">
        <f t="shared" ca="1" si="102"/>
        <v>23</v>
      </c>
      <c r="AH158" s="94">
        <f ca="1">IF($U158="","",SUMPRODUCT(--(Lineups!$Y$88:$Y$163=$U158),Lineups!$AO$88:$AO$163))</f>
        <v>0</v>
      </c>
      <c r="AJ158" s="94">
        <f t="shared" ca="1" si="103"/>
        <v>23</v>
      </c>
    </row>
    <row r="159" spans="1:37">
      <c r="A159" s="461">
        <f t="shared" si="94"/>
        <v>6</v>
      </c>
      <c r="B159" s="461" t="str">
        <f t="shared" si="95"/>
        <v>20</v>
      </c>
      <c r="C159" s="461" t="str">
        <f t="shared" si="95"/>
        <v>Devil Kitty</v>
      </c>
      <c r="D159" s="461">
        <f ca="1">IF($B159="","",SUMPRODUCT(--(Lineups!F$88:F$163=$B159),--(Lineups!B$88:B$163=""),Lineups!$S$88:$S$163))</f>
        <v>22</v>
      </c>
      <c r="F159" s="472">
        <f ca="1">IF($B159="","",SUMPRODUCT(--(Lineups!F$88:F$163=$B159),--(Lineups!B$88:B$163="X"),Lineups!$S$88:$S$163))</f>
        <v>0</v>
      </c>
      <c r="G159" s="472">
        <f ca="1">IF($B159="","",SUMPRODUCT(--(Lineups!$I$88:$I$163=$B159),Lineups!$S$88:$S$163))</f>
        <v>0</v>
      </c>
      <c r="H159" s="472">
        <f ca="1">IF($B159="","",SUMPRODUCT(--(Lineups!$L$88:$L$163=$B159),Lineups!$S$88:$S$163))</f>
        <v>0</v>
      </c>
      <c r="I159" s="472">
        <f ca="1">IF($B159="","",SUMPRODUCT(--(Lineups!$O$88:$O$163=$B159),Lineups!$S$88:$S$163))</f>
        <v>0</v>
      </c>
      <c r="J159" s="461">
        <f t="shared" ca="1" si="96"/>
        <v>0</v>
      </c>
      <c r="L159" s="461">
        <f t="shared" ca="1" si="97"/>
        <v>22</v>
      </c>
      <c r="O159" s="461">
        <f ca="1">IF($B159="","",SUMPRODUCT(--(Lineups!$C$88:$C$163=$B159),Lineups!$S$88:$S$163))</f>
        <v>0</v>
      </c>
      <c r="Q159" s="461">
        <f t="shared" ca="1" si="98"/>
        <v>22</v>
      </c>
      <c r="T159" s="461">
        <f t="shared" si="99"/>
        <v>6</v>
      </c>
      <c r="U159" s="461" t="str">
        <f t="shared" si="100"/>
        <v>42</v>
      </c>
      <c r="V159" s="461" t="str">
        <f t="shared" si="100"/>
        <v>Midnite Vulture</v>
      </c>
      <c r="W159" s="461">
        <f ca="1">IF($U159="","",SUMPRODUCT(--(Lineups!$AB$88:$AB$163=$U159),--(Lineups!$X$88:$X$163=""),Lineups!$AO$88:$AO$163))</f>
        <v>0</v>
      </c>
      <c r="Y159" s="472">
        <f ca="1">IF($U159="","",SUMPRODUCT(--(Lineups!$AB$88:$AB$163=$U159),--(Lineups!$X$88:$X$163="X"),Lineups!$AO$88:$AO$163))</f>
        <v>0</v>
      </c>
      <c r="Z159" s="472">
        <f ca="1">IF($U159="","",SUMPRODUCT(--(Lineups!$AE$88:$AE$163=$U159),Lineups!$AO$88:$AO$163))</f>
        <v>19</v>
      </c>
      <c r="AA159" s="472">
        <f ca="1">IF($U159="","",SUMPRODUCT(--(Lineups!$AH$88:$AH$163=$U159),Lineups!$AO$88:$AO$163))</f>
        <v>0</v>
      </c>
      <c r="AB159" s="472">
        <f ca="1">IF($U159="","",SUMPRODUCT(--(Lineups!$AK$88:$AK$163=$U159),Lineups!$AO$88:$AO$163))</f>
        <v>0</v>
      </c>
      <c r="AC159" s="461">
        <f t="shared" ca="1" si="101"/>
        <v>19</v>
      </c>
      <c r="AE159" s="461">
        <f t="shared" ca="1" si="102"/>
        <v>19</v>
      </c>
      <c r="AH159" s="461">
        <f ca="1">IF($U159="","",SUMPRODUCT(--(Lineups!$Y$88:$Y$163=$U159),Lineups!$AO$88:$AO$163))</f>
        <v>0</v>
      </c>
      <c r="AJ159" s="461">
        <f t="shared" ca="1" si="103"/>
        <v>19</v>
      </c>
    </row>
    <row r="160" spans="1:37">
      <c r="A160" s="94">
        <f t="shared" si="94"/>
        <v>7</v>
      </c>
      <c r="B160" s="94" t="str">
        <f t="shared" si="95"/>
        <v>20KN</v>
      </c>
      <c r="C160" s="94" t="str">
        <f t="shared" si="95"/>
        <v>Kraken Whips</v>
      </c>
      <c r="D160" s="94">
        <f ca="1">IF($B160="","",SUMPRODUCT(--(Lineups!F$88:F$163=$B160),--(Lineups!B$88:B$163=""),Lineups!$S$88:$S$163))</f>
        <v>0</v>
      </c>
      <c r="F160" s="472">
        <f ca="1">IF($B160="","",SUMPRODUCT(--(Lineups!F$88:F$163=$B160),--(Lineups!B$88:B$163="X"),Lineups!$S$88:$S$163))</f>
        <v>0</v>
      </c>
      <c r="G160" s="472">
        <f ca="1">IF($B160="","",SUMPRODUCT(--(Lineups!$I$88:$I$163=$B160),Lineups!$S$88:$S$163))</f>
        <v>0</v>
      </c>
      <c r="H160" s="472">
        <f ca="1">IF($B160="","",SUMPRODUCT(--(Lineups!$L$88:$L$163=$B160),Lineups!$S$88:$S$163))</f>
        <v>5</v>
      </c>
      <c r="I160" s="472">
        <f ca="1">IF($B160="","",SUMPRODUCT(--(Lineups!$O$88:$O$163=$B160),Lineups!$S$88:$S$163))</f>
        <v>0</v>
      </c>
      <c r="J160" s="94">
        <f t="shared" ca="1" si="96"/>
        <v>5</v>
      </c>
      <c r="L160" s="94">
        <f t="shared" ca="1" si="97"/>
        <v>5</v>
      </c>
      <c r="O160" s="94">
        <f ca="1">IF($B160="","",SUMPRODUCT(--(Lineups!$C$88:$C$163=$B160),Lineups!$S$88:$S$163))</f>
        <v>0</v>
      </c>
      <c r="Q160" s="94">
        <f t="shared" ca="1" si="98"/>
        <v>5</v>
      </c>
      <c r="T160" s="94">
        <f t="shared" si="99"/>
        <v>7</v>
      </c>
      <c r="U160" s="94" t="str">
        <f t="shared" si="100"/>
        <v>50</v>
      </c>
      <c r="V160" s="94" t="str">
        <f t="shared" si="100"/>
        <v>Sam-I-Slam</v>
      </c>
      <c r="W160" s="94">
        <f ca="1">IF($U160="","",SUMPRODUCT(--(Lineups!$AB$88:$AB$163=$U160),--(Lineups!$X$88:$X$163=""),Lineups!$AO$88:$AO$163))</f>
        <v>0</v>
      </c>
      <c r="Y160" s="472">
        <f ca="1">IF($U160="","",SUMPRODUCT(--(Lineups!$AB$88:$AB$163=$U160),--(Lineups!$X$88:$X$163="X"),Lineups!$AO$88:$AO$163))</f>
        <v>0</v>
      </c>
      <c r="Z160" s="472">
        <f ca="1">IF($U160="","",SUMPRODUCT(--(Lineups!$AE$88:$AE$163=$U160),Lineups!$AO$88:$AO$163))</f>
        <v>0</v>
      </c>
      <c r="AA160" s="472">
        <f ca="1">IF($U160="","",SUMPRODUCT(--(Lineups!$AH$88:$AH$163=$U160),Lineups!$AO$88:$AO$163))</f>
        <v>0</v>
      </c>
      <c r="AB160" s="472">
        <f ca="1">IF($U160="","",SUMPRODUCT(--(Lineups!$AK$88:$AK$163=$U160),Lineups!$AO$88:$AO$163))</f>
        <v>0</v>
      </c>
      <c r="AC160" s="94">
        <f t="shared" ca="1" si="101"/>
        <v>0</v>
      </c>
      <c r="AE160" s="94">
        <f t="shared" ca="1" si="102"/>
        <v>0</v>
      </c>
      <c r="AH160" s="94">
        <f ca="1">IF($U160="","",SUMPRODUCT(--(Lineups!$Y$88:$Y$163=$U160),Lineups!$AO$88:$AO$163))</f>
        <v>20</v>
      </c>
      <c r="AJ160" s="94">
        <f t="shared" ca="1" si="103"/>
        <v>20</v>
      </c>
    </row>
    <row r="161" spans="1:37">
      <c r="A161" s="461">
        <f t="shared" si="94"/>
        <v>8</v>
      </c>
      <c r="B161" s="461" t="str">
        <f t="shared" si="95"/>
        <v>212</v>
      </c>
      <c r="C161" s="461" t="str">
        <f t="shared" si="95"/>
        <v>Wham!tramck</v>
      </c>
      <c r="D161" s="461">
        <f ca="1">IF($B161="","",SUMPRODUCT(--(Lineups!F$88:F$163=$B161),--(Lineups!B$88:B$163=""),Lineups!$S$88:$S$163))</f>
        <v>0</v>
      </c>
      <c r="F161" s="472">
        <f ca="1">IF($B161="","",SUMPRODUCT(--(Lineups!F$88:F$163=$B161),--(Lineups!B$88:B$163="X"),Lineups!$S$88:$S$163))</f>
        <v>0</v>
      </c>
      <c r="G161" s="472">
        <f ca="1">IF($B161="","",SUMPRODUCT(--(Lineups!$I$88:$I$163=$B161),Lineups!$S$88:$S$163))</f>
        <v>2</v>
      </c>
      <c r="H161" s="472">
        <f ca="1">IF($B161="","",SUMPRODUCT(--(Lineups!$L$88:$L$163=$B161),Lineups!$S$88:$S$163))</f>
        <v>0</v>
      </c>
      <c r="I161" s="472">
        <f ca="1">IF($B161="","",SUMPRODUCT(--(Lineups!$O$88:$O$163=$B161),Lineups!$S$88:$S$163))</f>
        <v>0</v>
      </c>
      <c r="J161" s="461">
        <f t="shared" ca="1" si="96"/>
        <v>2</v>
      </c>
      <c r="L161" s="461">
        <f t="shared" ca="1" si="97"/>
        <v>2</v>
      </c>
      <c r="O161" s="461">
        <f ca="1">IF($B161="","",SUMPRODUCT(--(Lineups!$C$88:$C$163=$B161),Lineups!$S$88:$S$163))</f>
        <v>0</v>
      </c>
      <c r="Q161" s="461">
        <f t="shared" ca="1" si="98"/>
        <v>2</v>
      </c>
      <c r="T161" s="461">
        <f t="shared" si="99"/>
        <v>8</v>
      </c>
      <c r="U161" s="461" t="str">
        <f t="shared" si="100"/>
        <v>620</v>
      </c>
      <c r="V161" s="461" t="str">
        <f t="shared" si="100"/>
        <v>Lazer Beam</v>
      </c>
      <c r="W161" s="461">
        <f ca="1">IF($U161="","",SUMPRODUCT(--(Lineups!$AB$88:$AB$163=$U161),--(Lineups!$X$88:$X$163=""),Lineups!$AO$88:$AO$163))</f>
        <v>0</v>
      </c>
      <c r="Y161" s="472">
        <f ca="1">IF($U161="","",SUMPRODUCT(--(Lineups!$AB$88:$AB$163=$U161),--(Lineups!$X$88:$X$163="X"),Lineups!$AO$88:$AO$163))</f>
        <v>0</v>
      </c>
      <c r="Z161" s="472">
        <f ca="1">IF($U161="","",SUMPRODUCT(--(Lineups!$AE$88:$AE$163=$U161),Lineups!$AO$88:$AO$163))</f>
        <v>0</v>
      </c>
      <c r="AA161" s="472">
        <f ca="1">IF($U161="","",SUMPRODUCT(--(Lineups!$AH$88:$AH$163=$U161),Lineups!$AO$88:$AO$163))</f>
        <v>0</v>
      </c>
      <c r="AB161" s="472">
        <f ca="1">IF($U161="","",SUMPRODUCT(--(Lineups!$AK$88:$AK$163=$U161),Lineups!$AO$88:$AO$163))</f>
        <v>0</v>
      </c>
      <c r="AC161" s="461">
        <f t="shared" ca="1" si="101"/>
        <v>0</v>
      </c>
      <c r="AE161" s="461">
        <f t="shared" ca="1" si="102"/>
        <v>0</v>
      </c>
      <c r="AH161" s="461">
        <f ca="1">IF($U161="","",SUMPRODUCT(--(Lineups!$Y$88:$Y$163=$U161),Lineups!$AO$88:$AO$163))</f>
        <v>34</v>
      </c>
      <c r="AJ161" s="461">
        <f t="shared" ca="1" si="103"/>
        <v>34</v>
      </c>
    </row>
    <row r="162" spans="1:37">
      <c r="A162" s="94">
        <f t="shared" si="94"/>
        <v>9</v>
      </c>
      <c r="B162" s="94" t="str">
        <f t="shared" si="95"/>
        <v>33 1/3</v>
      </c>
      <c r="C162" s="94" t="str">
        <f t="shared" si="95"/>
        <v>Cookie Rumble</v>
      </c>
      <c r="D162" s="94">
        <f ca="1">IF($B162="","",SUMPRODUCT(--(Lineups!F$88:F$163=$B162),--(Lineups!B$88:B$163=""),Lineups!$S$88:$S$163))</f>
        <v>3</v>
      </c>
      <c r="F162" s="472">
        <f ca="1">IF($B162="","",SUMPRODUCT(--(Lineups!F$88:F$163=$B162),--(Lineups!B$88:B$163="X"),Lineups!$S$88:$S$163))</f>
        <v>0</v>
      </c>
      <c r="G162" s="472">
        <f ca="1">IF($B162="","",SUMPRODUCT(--(Lineups!$I$88:$I$163=$B162),Lineups!$S$88:$S$163))</f>
        <v>3</v>
      </c>
      <c r="H162" s="472">
        <f ca="1">IF($B162="","",SUMPRODUCT(--(Lineups!$L$88:$L$163=$B162),Lineups!$S$88:$S$163))</f>
        <v>15</v>
      </c>
      <c r="I162" s="472">
        <f ca="1">IF($B162="","",SUMPRODUCT(--(Lineups!$O$88:$O$163=$B162),Lineups!$S$88:$S$163))</f>
        <v>8</v>
      </c>
      <c r="J162" s="94">
        <f t="shared" ca="1" si="96"/>
        <v>26</v>
      </c>
      <c r="L162" s="94">
        <f t="shared" ca="1" si="97"/>
        <v>29</v>
      </c>
      <c r="O162" s="94">
        <f ca="1">IF($B162="","",SUMPRODUCT(--(Lineups!$C$88:$C$163=$B162),Lineups!$S$88:$S$163))</f>
        <v>23</v>
      </c>
      <c r="Q162" s="94">
        <f t="shared" ca="1" si="98"/>
        <v>52</v>
      </c>
      <c r="T162" s="94">
        <f t="shared" si="99"/>
        <v>9</v>
      </c>
      <c r="U162" s="94" t="str">
        <f t="shared" si="100"/>
        <v>7</v>
      </c>
      <c r="V162" s="94" t="str">
        <f t="shared" si="100"/>
        <v>CottonCandy Princess</v>
      </c>
      <c r="W162" s="94">
        <f ca="1">IF($U162="","",SUMPRODUCT(--(Lineups!$AB$88:$AB$163=$U162),--(Lineups!$X$88:$X$163=""),Lineups!$AO$88:$AO$163))</f>
        <v>9</v>
      </c>
      <c r="Y162" s="472">
        <f ca="1">IF($U162="","",SUMPRODUCT(--(Lineups!$AB$88:$AB$163=$U162),--(Lineups!$X$88:$X$163="X"),Lineups!$AO$88:$AO$163))</f>
        <v>0</v>
      </c>
      <c r="Z162" s="472">
        <f ca="1">IF($U162="","",SUMPRODUCT(--(Lineups!$AE$88:$AE$163=$U162),Lineups!$AO$88:$AO$163))</f>
        <v>2</v>
      </c>
      <c r="AA162" s="472">
        <f ca="1">IF($U162="","",SUMPRODUCT(--(Lineups!$AH$88:$AH$163=$U162),Lineups!$AO$88:$AO$163))</f>
        <v>19</v>
      </c>
      <c r="AB162" s="472">
        <f ca="1">IF($U162="","",SUMPRODUCT(--(Lineups!$AK$88:$AK$163=$U162),Lineups!$AO$88:$AO$163))</f>
        <v>8</v>
      </c>
      <c r="AC162" s="94">
        <f t="shared" ca="1" si="101"/>
        <v>29</v>
      </c>
      <c r="AE162" s="94">
        <f t="shared" ca="1" si="102"/>
        <v>38</v>
      </c>
      <c r="AH162" s="94">
        <f ca="1">IF($U162="","",SUMPRODUCT(--(Lineups!$Y$88:$Y$163=$U162),Lineups!$AO$88:$AO$163))</f>
        <v>0</v>
      </c>
      <c r="AJ162" s="94">
        <f t="shared" ca="1" si="103"/>
        <v>38</v>
      </c>
    </row>
    <row r="163" spans="1:37">
      <c r="A163" s="461">
        <f t="shared" si="94"/>
        <v>10</v>
      </c>
      <c r="B163" s="461" t="str">
        <f t="shared" si="95"/>
        <v>428</v>
      </c>
      <c r="C163" s="461" t="str">
        <f t="shared" si="95"/>
        <v>Freakin' Rican</v>
      </c>
      <c r="D163" s="461">
        <f ca="1">IF($B163="","",SUMPRODUCT(--(Lineups!F$88:F$163=$B163),--(Lineups!B$88:B$163=""),Lineups!$S$88:$S$163))</f>
        <v>0</v>
      </c>
      <c r="F163" s="472">
        <f ca="1">IF($B163="","",SUMPRODUCT(--(Lineups!F$88:F$163=$B163),--(Lineups!B$88:B$163="X"),Lineups!$S$88:$S$163))</f>
        <v>0</v>
      </c>
      <c r="G163" s="472">
        <f ca="1">IF($B163="","",SUMPRODUCT(--(Lineups!$I$88:$I$163=$B163),Lineups!$S$88:$S$163))</f>
        <v>0</v>
      </c>
      <c r="H163" s="472">
        <f ca="1">IF($B163="","",SUMPRODUCT(--(Lineups!$L$88:$L$163=$B163),Lineups!$S$88:$S$163))</f>
        <v>0</v>
      </c>
      <c r="I163" s="472">
        <f ca="1">IF($B163="","",SUMPRODUCT(--(Lineups!$O$88:$O$163=$B163),Lineups!$S$88:$S$163))</f>
        <v>0</v>
      </c>
      <c r="J163" s="461">
        <f t="shared" ca="1" si="96"/>
        <v>0</v>
      </c>
      <c r="L163" s="461">
        <f t="shared" ca="1" si="97"/>
        <v>0</v>
      </c>
      <c r="O163" s="461">
        <f ca="1">IF($B163="","",SUMPRODUCT(--(Lineups!$C$88:$C$163=$B163),Lineups!$S$88:$S$163))</f>
        <v>30</v>
      </c>
      <c r="Q163" s="461">
        <f t="shared" ca="1" si="98"/>
        <v>30</v>
      </c>
      <c r="T163" s="461">
        <f t="shared" si="99"/>
        <v>10</v>
      </c>
      <c r="U163" s="461" t="str">
        <f t="shared" si="100"/>
        <v>72</v>
      </c>
      <c r="V163" s="461" t="str">
        <f t="shared" si="100"/>
        <v>Demonica Mars</v>
      </c>
      <c r="W163" s="461">
        <f ca="1">IF($U163="","",SUMPRODUCT(--(Lineups!$AB$88:$AB$163=$U163),--(Lineups!$X$88:$X$163=""),Lineups!$AO$88:$AO$163))</f>
        <v>1</v>
      </c>
      <c r="Y163" s="472">
        <f ca="1">IF($U163="","",SUMPRODUCT(--(Lineups!$AB$88:$AB$163=$U163),--(Lineups!$X$88:$X$163="X"),Lineups!$AO$88:$AO$163))</f>
        <v>0</v>
      </c>
      <c r="Z163" s="472">
        <f ca="1">IF($U163="","",SUMPRODUCT(--(Lineups!$AE$88:$AE$163=$U163),Lineups!$AO$88:$AO$163))</f>
        <v>0</v>
      </c>
      <c r="AA163" s="472">
        <f ca="1">IF($U163="","",SUMPRODUCT(--(Lineups!$AH$88:$AH$163=$U163),Lineups!$AO$88:$AO$163))</f>
        <v>3</v>
      </c>
      <c r="AB163" s="472">
        <f ca="1">IF($U163="","",SUMPRODUCT(--(Lineups!$AK$88:$AK$163=$U163),Lineups!$AO$88:$AO$163))</f>
        <v>10</v>
      </c>
      <c r="AC163" s="461">
        <f t="shared" ca="1" si="101"/>
        <v>13</v>
      </c>
      <c r="AE163" s="461">
        <f t="shared" ca="1" si="102"/>
        <v>14</v>
      </c>
      <c r="AH163" s="461">
        <f ca="1">IF($U163="","",SUMPRODUCT(--(Lineups!$Y$88:$Y$163=$U163),Lineups!$AO$88:$AO$163))</f>
        <v>0</v>
      </c>
      <c r="AJ163" s="461">
        <f t="shared" ca="1" si="103"/>
        <v>14</v>
      </c>
    </row>
    <row r="164" spans="1:37">
      <c r="A164" s="94">
        <f t="shared" si="94"/>
        <v>11</v>
      </c>
      <c r="B164" s="94" t="str">
        <f t="shared" si="95"/>
        <v>6</v>
      </c>
      <c r="C164" s="94" t="str">
        <f t="shared" si="95"/>
        <v>Elle McFearsome</v>
      </c>
      <c r="D164" s="94">
        <f ca="1">IF($B164="","",SUMPRODUCT(--(Lineups!F$88:F$163=$B164),--(Lineups!B$88:B$163=""),Lineups!$S$88:$S$163))</f>
        <v>42</v>
      </c>
      <c r="F164" s="472">
        <f ca="1">IF($B164="","",SUMPRODUCT(--(Lineups!F$88:F$163=$B164),--(Lineups!B$88:B$163="X"),Lineups!$S$88:$S$163))</f>
        <v>0</v>
      </c>
      <c r="G164" s="472">
        <f ca="1">IF($B164="","",SUMPRODUCT(--(Lineups!$I$88:$I$163=$B164),Lineups!$S$88:$S$163))</f>
        <v>0</v>
      </c>
      <c r="H164" s="472">
        <f ca="1">IF($B164="","",SUMPRODUCT(--(Lineups!$L$88:$L$163=$B164),Lineups!$S$88:$S$163))</f>
        <v>0</v>
      </c>
      <c r="I164" s="472">
        <f ca="1">IF($B164="","",SUMPRODUCT(--(Lineups!$O$88:$O$163=$B164),Lineups!$S$88:$S$163))</f>
        <v>0</v>
      </c>
      <c r="J164" s="94">
        <f t="shared" ca="1" si="96"/>
        <v>0</v>
      </c>
      <c r="L164" s="94">
        <f t="shared" ca="1" si="97"/>
        <v>42</v>
      </c>
      <c r="O164" s="94">
        <f ca="1">IF($B164="","",SUMPRODUCT(--(Lineups!$C$88:$C$163=$B164),Lineups!$S$88:$S$163))</f>
        <v>0</v>
      </c>
      <c r="Q164" s="94">
        <f t="shared" ca="1" si="98"/>
        <v>42</v>
      </c>
      <c r="T164" s="94">
        <f t="shared" si="99"/>
        <v>11</v>
      </c>
      <c r="U164" s="94" t="str">
        <f t="shared" si="100"/>
        <v>9.81</v>
      </c>
      <c r="V164" s="94" t="str">
        <f t="shared" si="100"/>
        <v>Uhura Belle Death</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0</v>
      </c>
      <c r="AB164" s="472">
        <f ca="1">IF($U164="","",SUMPRODUCT(--(Lineups!$AK$88:$AK$163=$U164),Lineups!$AO$88:$AO$163))</f>
        <v>0</v>
      </c>
      <c r="AC164" s="94">
        <f t="shared" ca="1" si="101"/>
        <v>0</v>
      </c>
      <c r="AE164" s="94">
        <f t="shared" ca="1" si="102"/>
        <v>0</v>
      </c>
      <c r="AH164" s="94">
        <f ca="1">IF($U164="","",SUMPRODUCT(--(Lineups!$Y$88:$Y$163=$U164),Lineups!$AO$88:$AO$163))</f>
        <v>22</v>
      </c>
      <c r="AJ164" s="94">
        <f t="shared" ca="1" si="103"/>
        <v>22</v>
      </c>
    </row>
    <row r="165" spans="1:37">
      <c r="A165" s="461">
        <f t="shared" si="94"/>
        <v>12</v>
      </c>
      <c r="B165" s="461" t="str">
        <f t="shared" si="95"/>
        <v>728</v>
      </c>
      <c r="C165" s="461" t="str">
        <f t="shared" si="95"/>
        <v>Combat Cat</v>
      </c>
      <c r="D165" s="461">
        <f ca="1">IF($B165="","",SUMPRODUCT(--(Lineups!F$88:F$163=$B165),--(Lineups!B$88:B$163=""),Lineups!$S$88:$S$163))</f>
        <v>0</v>
      </c>
      <c r="F165" s="472">
        <f ca="1">IF($B165="","",SUMPRODUCT(--(Lineups!F$88:F$163=$B165),--(Lineups!B$88:B$163="X"),Lineups!$S$88:$S$163))</f>
        <v>0</v>
      </c>
      <c r="G165" s="472">
        <f ca="1">IF($B165="","",SUMPRODUCT(--(Lineups!$I$88:$I$163=$B165),Lineups!$S$88:$S$163))</f>
        <v>25</v>
      </c>
      <c r="H165" s="472">
        <f ca="1">IF($B165="","",SUMPRODUCT(--(Lineups!$L$88:$L$163=$B165),Lineups!$S$88:$S$163))</f>
        <v>8</v>
      </c>
      <c r="I165" s="472">
        <f ca="1">IF($B165="","",SUMPRODUCT(--(Lineups!$O$88:$O$163=$B165),Lineups!$S$88:$S$163))</f>
        <v>16</v>
      </c>
      <c r="J165" s="461">
        <f t="shared" ca="1" si="96"/>
        <v>49</v>
      </c>
      <c r="L165" s="461">
        <f t="shared" ca="1" si="97"/>
        <v>49</v>
      </c>
      <c r="O165" s="461">
        <f ca="1">IF($B165="","",SUMPRODUCT(--(Lineups!$C$88:$C$163=$B165),Lineups!$S$88:$S$163))</f>
        <v>7</v>
      </c>
      <c r="Q165" s="461">
        <f t="shared" ca="1" si="98"/>
        <v>56</v>
      </c>
      <c r="T165" s="461">
        <f t="shared" si="99"/>
        <v>12</v>
      </c>
      <c r="U165" s="461" t="str">
        <f t="shared" si="100"/>
        <v>I-75</v>
      </c>
      <c r="V165" s="461" t="str">
        <f t="shared" si="100"/>
        <v>Diesel Doll</v>
      </c>
      <c r="W165" s="461">
        <f ca="1">IF($U165="","",SUMPRODUCT(--(Lineups!$AB$88:$AB$163=$U165),--(Lineups!$X$88:$X$163=""),Lineups!$AO$88:$AO$163))</f>
        <v>28</v>
      </c>
      <c r="Y165" s="472">
        <f ca="1">IF($U165="","",SUMPRODUCT(--(Lineups!$AB$88:$AB$163=$U165),--(Lineups!$X$88:$X$163="X"),Lineups!$AO$88:$AO$163))</f>
        <v>0</v>
      </c>
      <c r="Z165" s="472">
        <f ca="1">IF($U165="","",SUMPRODUCT(--(Lineups!$AE$88:$AE$163=$U165),Lineups!$AO$88:$AO$163))</f>
        <v>0</v>
      </c>
      <c r="AA165" s="472">
        <f ca="1">IF($U165="","",SUMPRODUCT(--(Lineups!$AH$88:$AH$163=$U165),Lineups!$AO$88:$AO$163))</f>
        <v>0</v>
      </c>
      <c r="AB165" s="472">
        <f ca="1">IF($U165="","",SUMPRODUCT(--(Lineups!$AK$88:$AK$163=$U165),Lineups!$AO$88:$AO$163))</f>
        <v>0</v>
      </c>
      <c r="AC165" s="461">
        <f t="shared" ca="1" si="101"/>
        <v>0</v>
      </c>
      <c r="AE165" s="461">
        <f t="shared" ca="1" si="102"/>
        <v>28</v>
      </c>
      <c r="AH165" s="461">
        <f ca="1">IF($U165="","",SUMPRODUCT(--(Lineups!$Y$88:$Y$163=$U165),Lineups!$AO$88:$AO$163))</f>
        <v>0</v>
      </c>
      <c r="AJ165" s="461">
        <f t="shared" ca="1" si="103"/>
        <v>28</v>
      </c>
    </row>
    <row r="166" spans="1:37">
      <c r="A166" s="94">
        <f t="shared" si="94"/>
        <v>13</v>
      </c>
      <c r="B166" s="94" t="str">
        <f t="shared" si="95"/>
        <v>80</v>
      </c>
      <c r="C166" s="94" t="str">
        <f t="shared" si="95"/>
        <v>Mean Streak</v>
      </c>
      <c r="D166" s="94">
        <f ca="1">IF($B166="","",SUMPRODUCT(--(Lineups!F$88:F$163=$B166),--(Lineups!B$88:B$163=""),Lineups!$S$88:$S$163))</f>
        <v>0</v>
      </c>
      <c r="F166" s="472">
        <f ca="1">IF($B166="","",SUMPRODUCT(--(Lineups!F$88:F$163=$B166),--(Lineups!B$88:B$163="X"),Lineups!$S$88:$S$163))</f>
        <v>0</v>
      </c>
      <c r="G166" s="472">
        <f ca="1">IF($B166="","",SUMPRODUCT(--(Lineups!$I$88:$I$163=$B166),Lineups!$S$88:$S$163))</f>
        <v>0</v>
      </c>
      <c r="H166" s="472">
        <f ca="1">IF($B166="","",SUMPRODUCT(--(Lineups!$L$88:$L$163=$B166),Lineups!$S$88:$S$163))</f>
        <v>13</v>
      </c>
      <c r="I166" s="472">
        <f ca="1">IF($B166="","",SUMPRODUCT(--(Lineups!$O$88:$O$163=$B166),Lineups!$S$88:$S$163))</f>
        <v>0</v>
      </c>
      <c r="J166" s="94">
        <f t="shared" ca="1" si="96"/>
        <v>13</v>
      </c>
      <c r="L166" s="94">
        <f t="shared" ca="1" si="97"/>
        <v>13</v>
      </c>
      <c r="O166" s="94">
        <f ca="1">IF($B166="","",SUMPRODUCT(--(Lineups!$C$88:$C$163=$B166),Lineups!$S$88:$S$163))</f>
        <v>7</v>
      </c>
      <c r="Q166" s="94">
        <f t="shared" ca="1" si="98"/>
        <v>20</v>
      </c>
      <c r="T166" s="94">
        <f t="shared" si="99"/>
        <v>13</v>
      </c>
      <c r="U166" s="94" t="str">
        <f t="shared" si="100"/>
        <v>N2O</v>
      </c>
      <c r="V166" s="94" t="str">
        <f t="shared" si="100"/>
        <v>Cool Whip</v>
      </c>
      <c r="W166" s="94">
        <f ca="1">IF($U166="","",SUMPRODUCT(--(Lineups!$AB$88:$AB$163=$U166),--(Lineups!$X$88:$X$163=""),Lineups!$AO$88:$AO$163))</f>
        <v>38</v>
      </c>
      <c r="Y166" s="472">
        <f ca="1">IF($U166="","",SUMPRODUCT(--(Lineups!$AB$88:$AB$163=$U166),--(Lineups!$X$88:$X$163="X"),Lineups!$AO$88:$AO$163))</f>
        <v>0</v>
      </c>
      <c r="Z166" s="472">
        <f ca="1">IF($U166="","",SUMPRODUCT(--(Lineups!$AE$88:$AE$163=$U166),Lineups!$AO$88:$AO$163))</f>
        <v>9</v>
      </c>
      <c r="AA166" s="472">
        <f ca="1">IF($U166="","",SUMPRODUCT(--(Lineups!$AH$88:$AH$163=$U166),Lineups!$AO$88:$AO$163))</f>
        <v>0</v>
      </c>
      <c r="AB166" s="472">
        <f ca="1">IF($U166="","",SUMPRODUCT(--(Lineups!$AK$88:$AK$163=$U166),Lineups!$AO$88:$AO$163))</f>
        <v>4</v>
      </c>
      <c r="AC166" s="94">
        <f t="shared" ca="1" si="101"/>
        <v>13</v>
      </c>
      <c r="AE166" s="94">
        <f t="shared" ca="1" si="102"/>
        <v>51</v>
      </c>
      <c r="AH166" s="94">
        <f ca="1">IF($U166="","",SUMPRODUCT(--(Lineups!$Y$88:$Y$163=$U166),Lineups!$AO$88:$AO$163))</f>
        <v>0</v>
      </c>
      <c r="AJ166" s="94">
        <f t="shared" ca="1" si="103"/>
        <v>51</v>
      </c>
    </row>
    <row r="167" spans="1:37">
      <c r="A167" s="461">
        <f t="shared" si="94"/>
        <v>14</v>
      </c>
      <c r="B167" s="461" t="str">
        <f t="shared" si="95"/>
        <v>9.99</v>
      </c>
      <c r="C167" s="461" t="str">
        <f t="shared" si="95"/>
        <v>U.S.S. DentHerPrize</v>
      </c>
      <c r="D167" s="461">
        <f ca="1">IF($B167="","",SUMPRODUCT(--(Lineups!F$88:F$163=$B167),--(Lineups!B$88:B$163=""),Lineups!$S$88:$S$163))</f>
        <v>0</v>
      </c>
      <c r="F167" s="472">
        <f ca="1">IF($B167="","",SUMPRODUCT(--(Lineups!F$88:F$163=$B167),--(Lineups!B$88:B$163="X"),Lineups!$S$88:$S$163))</f>
        <v>0</v>
      </c>
      <c r="G167" s="472">
        <f ca="1">IF($B167="","",SUMPRODUCT(--(Lineups!$I$88:$I$163=$B167),Lineups!$S$88:$S$163))</f>
        <v>0</v>
      </c>
      <c r="H167" s="472">
        <f ca="1">IF($B167="","",SUMPRODUCT(--(Lineups!$L$88:$L$163=$B167),Lineups!$S$88:$S$163))</f>
        <v>0</v>
      </c>
      <c r="I167" s="472">
        <f ca="1">IF($B167="","",SUMPRODUCT(--(Lineups!$O$88:$O$163=$B167),Lineups!$S$88:$S$163))</f>
        <v>0</v>
      </c>
      <c r="J167" s="461">
        <f t="shared" ca="1" si="96"/>
        <v>0</v>
      </c>
      <c r="L167" s="461">
        <f t="shared" ca="1" si="97"/>
        <v>0</v>
      </c>
      <c r="O167" s="461">
        <f ca="1">IF($B167="","",SUMPRODUCT(--(Lineups!$C$88:$C$163=$B167),Lineups!$S$88:$S$163))</f>
        <v>0</v>
      </c>
      <c r="Q167" s="461">
        <f t="shared" ca="1" si="98"/>
        <v>0</v>
      </c>
      <c r="T167" s="461">
        <f t="shared" si="99"/>
        <v>14</v>
      </c>
      <c r="U167" s="461" t="str">
        <f t="shared" si="100"/>
        <v>W00T</v>
      </c>
      <c r="V167" s="461" t="str">
        <f t="shared" si="100"/>
        <v>Genniferal</v>
      </c>
      <c r="W167" s="461">
        <f ca="1">IF($U167="","",SUMPRODUCT(--(Lineups!$AB$88:$AB$163=$U167),--(Lineups!$X$88:$X$163=""),Lineups!$AO$88:$AO$163))</f>
        <v>1</v>
      </c>
      <c r="Y167" s="472">
        <f ca="1">IF($U167="","",SUMPRODUCT(--(Lineups!$AB$88:$AB$163=$U167),--(Lineups!$X$88:$X$163="X"),Lineups!$AO$88:$AO$163))</f>
        <v>0</v>
      </c>
      <c r="Z167" s="472">
        <f ca="1">IF($U167="","",SUMPRODUCT(--(Lineups!$AE$88:$AE$163=$U167),Lineups!$AO$88:$AO$163))</f>
        <v>25</v>
      </c>
      <c r="AA167" s="472">
        <f ca="1">IF($U167="","",SUMPRODUCT(--(Lineups!$AH$88:$AH$163=$U167),Lineups!$AO$88:$AO$163))</f>
        <v>4</v>
      </c>
      <c r="AB167" s="472">
        <f ca="1">IF($U167="","",SUMPRODUCT(--(Lineups!$AK$88:$AK$163=$U167),Lineups!$AO$88:$AO$163))</f>
        <v>22</v>
      </c>
      <c r="AC167" s="461">
        <f t="shared" ca="1" si="101"/>
        <v>51</v>
      </c>
      <c r="AE167" s="461">
        <f t="shared" ca="1" si="102"/>
        <v>52</v>
      </c>
      <c r="AH167" s="461">
        <f ca="1">IF($U167="","",SUMPRODUCT(--(Lineups!$Y$88:$Y$163=$U167),Lineups!$AO$88:$AO$163))</f>
        <v>1</v>
      </c>
      <c r="AJ167" s="461">
        <f t="shared" ca="1" si="103"/>
        <v>53</v>
      </c>
    </row>
    <row r="168" spans="1:37">
      <c r="A168" s="94">
        <f t="shared" si="94"/>
        <v>15</v>
      </c>
      <c r="B168" s="94" t="str">
        <f t="shared" si="95"/>
        <v>F14</v>
      </c>
      <c r="C168" s="94" t="str">
        <f t="shared" si="95"/>
        <v>Apertorture</v>
      </c>
      <c r="D168" s="94">
        <f ca="1">IF($B168="","",SUMPRODUCT(--(Lineups!F$88:F$163=$B168),--(Lineups!B$88:B$163=""),Lineups!$S$88:$S$163))</f>
        <v>0</v>
      </c>
      <c r="F168" s="472">
        <f ca="1">IF($B168="","",SUMPRODUCT(--(Lineups!F$88:F$163=$B168),--(Lineups!B$88:B$163="X"),Lineups!$S$88:$S$163))</f>
        <v>0</v>
      </c>
      <c r="G168" s="472">
        <f ca="1">IF($B168="","",SUMPRODUCT(--(Lineups!$I$88:$I$163=$B168),Lineups!$S$88:$S$163))</f>
        <v>0</v>
      </c>
      <c r="H168" s="472">
        <f ca="1">IF($B168="","",SUMPRODUCT(--(Lineups!$L$88:$L$163=$B168),Lineups!$S$88:$S$163))</f>
        <v>10</v>
      </c>
      <c r="I168" s="472">
        <f ca="1">IF($B168="","",SUMPRODUCT(--(Lineups!$O$88:$O$163=$B168),Lineups!$S$88:$S$163))</f>
        <v>0</v>
      </c>
      <c r="J168" s="94">
        <f t="shared" ca="1" si="96"/>
        <v>10</v>
      </c>
      <c r="L168" s="94">
        <f t="shared" ca="1" si="97"/>
        <v>10</v>
      </c>
      <c r="O168" s="94">
        <f ca="1">IF($B168="","",SUMPRODUCT(--(Lineups!$C$88:$C$163=$B168),Lineups!$S$88:$S$163))</f>
        <v>0</v>
      </c>
      <c r="Q168" s="94">
        <f t="shared" ca="1" si="98"/>
        <v>10</v>
      </c>
      <c r="T168" s="94">
        <f t="shared" si="99"/>
        <v>15</v>
      </c>
      <c r="U168" s="94" t="str">
        <f t="shared" si="100"/>
        <v>Z28</v>
      </c>
      <c r="V168" s="94" t="str">
        <f t="shared" si="100"/>
        <v>V8 Nightmare</v>
      </c>
      <c r="W168" s="94">
        <f ca="1">IF($U168="","",SUMPRODUCT(--(Lineups!$AB$88:$AB$163=$U168),--(Lineups!$X$88:$X$163=""),Lineups!$AO$88:$AO$163))</f>
        <v>0</v>
      </c>
      <c r="Y168" s="472">
        <f ca="1">IF($U168="","",SUMPRODUCT(--(Lineups!$AB$88:$AB$163=$U168),--(Lineups!$X$88:$X$163="X"),Lineups!$AO$88:$AO$163))</f>
        <v>0</v>
      </c>
      <c r="Z168" s="472">
        <f ca="1">IF($U168="","",SUMPRODUCT(--(Lineups!$AE$88:$AE$163=$U168),Lineups!$AO$88:$AO$163))</f>
        <v>0</v>
      </c>
      <c r="AA168" s="472">
        <f ca="1">IF($U168="","",SUMPRODUCT(--(Lineups!$AH$88:$AH$163=$U168),Lineups!$AO$88:$AO$163))</f>
        <v>0</v>
      </c>
      <c r="AB168" s="472">
        <f ca="1">IF($U168="","",SUMPRODUCT(--(Lineups!$AK$88:$AK$163=$U168),Lineups!$AO$88:$AO$163))</f>
        <v>3</v>
      </c>
      <c r="AC168" s="94">
        <f t="shared" ca="1" si="101"/>
        <v>3</v>
      </c>
      <c r="AE168" s="94">
        <f t="shared" ca="1" si="102"/>
        <v>3</v>
      </c>
      <c r="AH168" s="94">
        <f ca="1">IF($U168="","",SUMPRODUCT(--(Lineups!$Y$88:$Y$163=$U168),Lineups!$AO$88:$AO$163))</f>
        <v>0</v>
      </c>
      <c r="AJ168" s="94">
        <f t="shared" ca="1" si="103"/>
        <v>3</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43" t="s">
        <v>352</v>
      </c>
      <c r="B175" s="1343"/>
      <c r="C175" s="1343"/>
      <c r="D175" s="309"/>
      <c r="E175" s="309"/>
      <c r="F175" s="309"/>
      <c r="G175" s="309"/>
      <c r="H175" s="309"/>
      <c r="I175" s="309"/>
      <c r="J175" s="309"/>
      <c r="K175" s="309"/>
      <c r="L175" s="309"/>
      <c r="M175" s="309"/>
      <c r="N175" s="309"/>
      <c r="O175" s="309"/>
      <c r="P175" s="309"/>
      <c r="Q175" s="309"/>
      <c r="R175" s="309"/>
      <c r="T175" s="1343" t="s">
        <v>352</v>
      </c>
      <c r="U175" s="1343"/>
      <c r="V175" s="1343"/>
      <c r="W175" s="309"/>
      <c r="X175" s="309"/>
      <c r="Y175" s="309"/>
      <c r="Z175" s="309"/>
      <c r="AA175" s="309"/>
      <c r="AB175" s="309"/>
      <c r="AC175" s="309"/>
      <c r="AD175" s="309"/>
      <c r="AE175" s="309"/>
      <c r="AF175" s="309"/>
      <c r="AG175" s="309"/>
      <c r="AH175" s="309"/>
      <c r="AI175" s="309"/>
      <c r="AJ175" s="309"/>
      <c r="AK175" s="309"/>
    </row>
    <row r="176" spans="1:37">
      <c r="A176" s="466">
        <v>0</v>
      </c>
      <c r="B176" s="466" t="s">
        <v>202</v>
      </c>
      <c r="C176" s="466" t="s">
        <v>203</v>
      </c>
      <c r="D176" s="466" t="s">
        <v>187</v>
      </c>
      <c r="E176" s="302"/>
      <c r="F176" s="471" t="s">
        <v>189</v>
      </c>
      <c r="G176" s="471" t="s">
        <v>189</v>
      </c>
      <c r="H176" s="471" t="s">
        <v>189</v>
      </c>
      <c r="I176" s="471" t="s">
        <v>189</v>
      </c>
      <c r="J176" s="466" t="s">
        <v>212</v>
      </c>
      <c r="K176" s="302"/>
      <c r="L176" s="466" t="s">
        <v>214</v>
      </c>
      <c r="M176" s="302"/>
      <c r="N176" s="468" t="s">
        <v>29</v>
      </c>
      <c r="O176" s="466" t="s">
        <v>190</v>
      </c>
      <c r="P176" s="302"/>
      <c r="Q176" s="466" t="s">
        <v>23</v>
      </c>
      <c r="R176" s="302"/>
      <c r="T176" s="466">
        <v>0</v>
      </c>
      <c r="U176" s="466" t="s">
        <v>202</v>
      </c>
      <c r="V176" s="466" t="s">
        <v>203</v>
      </c>
      <c r="W176" s="466" t="s">
        <v>187</v>
      </c>
      <c r="X176" s="302"/>
      <c r="Y176" s="471" t="s">
        <v>189</v>
      </c>
      <c r="Z176" s="471" t="s">
        <v>189</v>
      </c>
      <c r="AA176" s="471" t="s">
        <v>189</v>
      </c>
      <c r="AB176" s="471" t="s">
        <v>189</v>
      </c>
      <c r="AC176" s="466" t="s">
        <v>212</v>
      </c>
      <c r="AD176" s="302"/>
      <c r="AE176" s="466" t="s">
        <v>214</v>
      </c>
      <c r="AF176" s="302"/>
      <c r="AG176" s="468" t="s">
        <v>29</v>
      </c>
      <c r="AH176" s="466" t="s">
        <v>190</v>
      </c>
      <c r="AI176" s="302"/>
      <c r="AJ176" s="466" t="s">
        <v>23</v>
      </c>
      <c r="AK176" s="302"/>
    </row>
    <row r="177" spans="1:36">
      <c r="A177" s="94">
        <f t="shared" ref="A177:A196" si="104">A176+1</f>
        <v>1</v>
      </c>
      <c r="B177" s="94" t="str">
        <f t="shared" ref="B177:C196" si="105">B108</f>
        <v>138</v>
      </c>
      <c r="C177" s="94" t="str">
        <f t="shared" si="105"/>
        <v>Mag Pie</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21</v>
      </c>
      <c r="I177" s="472">
        <f ca="1">IF($B177="","",SUMPRODUCT(--(Lineups!$O$88:$O$163=$B177),Lineups!$AO$88:$AO$163))</f>
        <v>0</v>
      </c>
      <c r="J177" s="94">
        <f t="shared" ref="J177:J196" ca="1" si="106">IF(B177="","",SUM(F177:I177))</f>
        <v>21</v>
      </c>
      <c r="L177" s="94">
        <f t="shared" ref="L177:L196" ca="1" si="107">IF(B177="","",SUM(D177,J177))</f>
        <v>21</v>
      </c>
      <c r="O177" s="94">
        <f ca="1">IF($B177="","",SUMPRODUCT(--(Lineups!$C$88:$C$163=$B177),Lineups!$AO$88:$AO$163))</f>
        <v>0</v>
      </c>
      <c r="Q177" s="94">
        <f t="shared" ref="Q177:Q196" ca="1" si="108">IF(B177="","",SUM(L177,O177))</f>
        <v>21</v>
      </c>
      <c r="T177" s="94">
        <f t="shared" ref="T177:T196" si="109">T176+1</f>
        <v>1</v>
      </c>
      <c r="U177" s="94" t="str">
        <f t="shared" ref="U177:V196" si="110">U108</f>
        <v>182</v>
      </c>
      <c r="V177" s="94" t="str">
        <f t="shared" si="110"/>
        <v>Travis Blocker</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10</v>
      </c>
      <c r="AC177" s="94">
        <f t="shared" ref="AC177:AC196" ca="1" si="111">SUM(Y177:AB177)</f>
        <v>10</v>
      </c>
      <c r="AE177" s="94">
        <f t="shared" ref="AE177:AE196" ca="1" si="112">IF(U177="","",SUM(W177,AC177))</f>
        <v>10</v>
      </c>
      <c r="AH177" s="94">
        <f ca="1">IF($U177="","",SUMPRODUCT(--(Lineups!$Y$88:$Y$163=$U177),Lineups!$S$88:$S$163))</f>
        <v>0</v>
      </c>
      <c r="AJ177" s="94">
        <f t="shared" ref="AJ177:AJ196" ca="1" si="113">IF(U177="","",SUM(AE177,AH177))</f>
        <v>10</v>
      </c>
    </row>
    <row r="178" spans="1:36">
      <c r="A178" s="461">
        <f t="shared" si="104"/>
        <v>2</v>
      </c>
      <c r="B178" s="461" t="str">
        <f t="shared" si="105"/>
        <v>181</v>
      </c>
      <c r="C178" s="461" t="str">
        <f t="shared" si="105"/>
        <v>Vega Vendetta</v>
      </c>
      <c r="D178" s="461">
        <f ca="1">IF($B178="","",SUMPRODUCT(--(Lineups!$F$88:$F$163=$B178),--(Lineups!$B$88:$B$163=""),Lineups!$AO$88:$AO$163))</f>
        <v>0</v>
      </c>
      <c r="F178" s="472">
        <f ca="1">IF($B178="","",SUMPRODUCT(--(Lineups!$F$88:$F$163=$B178),--(Lineups!$B$88:$B$163="X"),Lineups!$AO$88:$AO$163))</f>
        <v>0</v>
      </c>
      <c r="G178" s="472">
        <f ca="1">IF($B178="","",SUMPRODUCT(--(Lineups!$I$88:$I$163=$B178),Lineups!$AO$88:$AO$163))</f>
        <v>11</v>
      </c>
      <c r="H178" s="472">
        <f ca="1">IF($B178="","",SUMPRODUCT(--(Lineups!$L$88:$L$163=$B178),Lineups!$AO$88:$AO$163))</f>
        <v>0</v>
      </c>
      <c r="I178" s="472">
        <f ca="1">IF($B178="","",SUMPRODUCT(--(Lineups!$O$88:$O$163=$B178),Lineups!$AO$88:$AO$163))</f>
        <v>3</v>
      </c>
      <c r="J178" s="461">
        <f t="shared" ca="1" si="106"/>
        <v>14</v>
      </c>
      <c r="L178" s="461">
        <f t="shared" ca="1" si="107"/>
        <v>14</v>
      </c>
      <c r="O178" s="461">
        <f ca="1">IF($B178="","",SUMPRODUCT(--(Lineups!$C$88:$C$163=$B178),Lineups!$AO$88:$AO$163))</f>
        <v>0</v>
      </c>
      <c r="Q178" s="461">
        <f t="shared" ca="1" si="108"/>
        <v>14</v>
      </c>
      <c r="T178" s="461">
        <f t="shared" si="109"/>
        <v>2</v>
      </c>
      <c r="U178" s="461" t="str">
        <f t="shared" si="110"/>
        <v>2¢</v>
      </c>
      <c r="V178" s="461" t="str">
        <f t="shared" si="110"/>
        <v>Vera Toss</v>
      </c>
      <c r="W178" s="461">
        <f ca="1">IF($U178="","",SUMPRODUCT(--(Lineups!$AB$88:$AB$163=$U178),--(Lineups!$X$88:$X$163=""),Lineups!$S$88:$S$163))</f>
        <v>0</v>
      </c>
      <c r="Y178" s="472">
        <f ca="1">IF($U178="","",SUMPRODUCT(--(Lineups!$AB$88:$AB$163=$U178),--(Lineups!$X$88:$X$163="X"),Lineups!$S$88:$S$163))</f>
        <v>0</v>
      </c>
      <c r="Z178" s="472">
        <f ca="1">IF(U178="","",(SUMPRODUCT(--(Lineups!$AE$88:$AE$163=$U178),Lineups!$S$88:$S$163)))</f>
        <v>5</v>
      </c>
      <c r="AA178" s="472">
        <f ca="1">IF(U178="","",(SUMPRODUCT(--(Lineups!$AH$88:$AH$163=$U178),Lineups!$S$88:$S$163)))</f>
        <v>0</v>
      </c>
      <c r="AB178" s="472">
        <f ca="1">IF(U178="","",(SUMPRODUCT(--(Lineups!$AK$88:$AK$163=$U178),Lineups!$S$88:$S$163)))</f>
        <v>13</v>
      </c>
      <c r="AC178" s="461">
        <f t="shared" ca="1" si="111"/>
        <v>18</v>
      </c>
      <c r="AE178" s="461">
        <f t="shared" ca="1" si="112"/>
        <v>18</v>
      </c>
      <c r="AH178" s="461">
        <f ca="1">IF($U178="","",SUMPRODUCT(--(Lineups!$Y$88:$Y$163=$U178),Lineups!$S$88:$S$163))</f>
        <v>0</v>
      </c>
      <c r="AJ178" s="461">
        <f t="shared" ca="1" si="113"/>
        <v>18</v>
      </c>
    </row>
    <row r="179" spans="1:36">
      <c r="A179" s="94">
        <f t="shared" si="104"/>
        <v>3</v>
      </c>
      <c r="B179" s="94" t="str">
        <f t="shared" si="105"/>
        <v>1821</v>
      </c>
      <c r="C179" s="94" t="str">
        <f t="shared" si="105"/>
        <v>Mexi-Go</v>
      </c>
      <c r="D179" s="94">
        <f ca="1">IF($B179="","",SUMPRODUCT(--(Lineups!$F$88:$F$163=$B179),--(Lineups!$B$88:$B$163=""),Lineups!$AO$88:$AO$163))</f>
        <v>0</v>
      </c>
      <c r="F179" s="472">
        <f ca="1">IF($B179="","",SUMPRODUCT(--(Lineups!$F$88:$F$163=$B179),--(Lineups!$B$88:$B$163="X"),Lineups!$AO$88:$AO$163))</f>
        <v>0</v>
      </c>
      <c r="G179" s="472">
        <f ca="1">IF($B179="","",SUMPRODUCT(--(Lineups!$I$88:$I$163=$B179),Lineups!$AO$88:$AO$163))</f>
        <v>5</v>
      </c>
      <c r="H179" s="472">
        <f ca="1">IF($B179="","",SUMPRODUCT(--(Lineups!$L$88:$L$163=$B179),Lineups!$AO$88:$AO$163))</f>
        <v>4</v>
      </c>
      <c r="I179" s="472">
        <f ca="1">IF($B179="","",SUMPRODUCT(--(Lineups!$O$88:$O$163=$B179),Lineups!$AO$88:$AO$163))</f>
        <v>12</v>
      </c>
      <c r="J179" s="94">
        <f t="shared" ca="1" si="106"/>
        <v>21</v>
      </c>
      <c r="L179" s="94">
        <f t="shared" ca="1" si="107"/>
        <v>21</v>
      </c>
      <c r="O179" s="94">
        <f ca="1">IF($B179="","",SUMPRODUCT(--(Lineups!$C$88:$C$163=$B179),Lineups!$AO$88:$AO$163))</f>
        <v>0</v>
      </c>
      <c r="Q179" s="94">
        <f t="shared" ca="1" si="108"/>
        <v>21</v>
      </c>
      <c r="T179" s="94">
        <f t="shared" si="109"/>
        <v>3</v>
      </c>
      <c r="U179" s="94" t="str">
        <f t="shared" si="110"/>
        <v>24/7</v>
      </c>
      <c r="V179" s="94" t="str">
        <f t="shared" si="110"/>
        <v>boo d. livers</v>
      </c>
      <c r="W179" s="94">
        <f ca="1">IF($U179="","",SUMPRODUCT(--(Lineups!$AB$88:$AB$163=$U179),--(Lineups!$X$88:$X$163=""),Lineups!$S$88:$S$163))</f>
        <v>0</v>
      </c>
      <c r="Y179" s="472">
        <f ca="1">IF($U179="","",SUMPRODUCT(--(Lineups!$AB$88:$AB$163=$U179),--(Lineups!$X$88:$X$163="X"),Lineups!$S$88:$S$163))</f>
        <v>0</v>
      </c>
      <c r="Z179" s="472">
        <f ca="1">IF(U179="","",(SUMPRODUCT(--(Lineups!$AE$88:$AE$163=$U179),Lineups!$S$88:$S$163)))</f>
        <v>34</v>
      </c>
      <c r="AA179" s="472">
        <f ca="1">IF(U179="","",(SUMPRODUCT(--(Lineups!$AH$88:$AH$163=$U179),Lineups!$S$88:$S$163)))</f>
        <v>18</v>
      </c>
      <c r="AB179" s="472">
        <f ca="1">IF(U179="","",(SUMPRODUCT(--(Lineups!$AK$88:$AK$163=$U179),Lineups!$S$88:$S$163)))</f>
        <v>8</v>
      </c>
      <c r="AC179" s="94">
        <f t="shared" ca="1" si="111"/>
        <v>60</v>
      </c>
      <c r="AE179" s="94">
        <f t="shared" ca="1" si="112"/>
        <v>60</v>
      </c>
      <c r="AH179" s="94">
        <f ca="1">IF($U179="","",SUMPRODUCT(--(Lineups!$Y$88:$Y$163=$U179),Lineups!$S$88:$S$163))</f>
        <v>0</v>
      </c>
      <c r="AJ179" s="94">
        <f t="shared" ca="1" si="113"/>
        <v>60</v>
      </c>
    </row>
    <row r="180" spans="1:36">
      <c r="A180" s="461">
        <f t="shared" si="104"/>
        <v>4</v>
      </c>
      <c r="B180" s="461" t="str">
        <f t="shared" si="105"/>
        <v>187</v>
      </c>
      <c r="C180" s="461" t="str">
        <f t="shared" si="105"/>
        <v>VeroniKILL</v>
      </c>
      <c r="D180" s="461">
        <f ca="1">IF($B180="","",SUMPRODUCT(--(Lineups!$F$88:$F$163=$B180),--(Lineups!$B$88:$B$163=""),Lineups!$AO$88:$AO$163))</f>
        <v>0</v>
      </c>
      <c r="F180" s="472">
        <f ca="1">IF($B180="","",SUMPRODUCT(--(Lineups!$F$88:$F$163=$B180),--(Lineups!$B$88:$B$163="X"),Lineups!$AO$88:$AO$163))</f>
        <v>0</v>
      </c>
      <c r="G180" s="472">
        <f ca="1">IF($B180="","",SUMPRODUCT(--(Lineups!$I$88:$I$163=$B180),Lineups!$AO$88:$AO$163))</f>
        <v>31</v>
      </c>
      <c r="H180" s="472">
        <f ca="1">IF($B180="","",SUMPRODUCT(--(Lineups!$L$88:$L$163=$B180),Lineups!$AO$88:$AO$163))</f>
        <v>1</v>
      </c>
      <c r="I180" s="472">
        <f ca="1">IF($B180="","",SUMPRODUCT(--(Lineups!$O$88:$O$163=$B180),Lineups!$AO$88:$AO$163))</f>
        <v>19</v>
      </c>
      <c r="J180" s="461">
        <f t="shared" ca="1" si="106"/>
        <v>51</v>
      </c>
      <c r="L180" s="461">
        <f t="shared" ca="1" si="107"/>
        <v>51</v>
      </c>
      <c r="O180" s="461">
        <f ca="1">IF($B180="","",SUMPRODUCT(--(Lineups!$C$88:$C$163=$B180),Lineups!$AO$88:$AO$163))</f>
        <v>0</v>
      </c>
      <c r="Q180" s="461">
        <f t="shared" ca="1" si="108"/>
        <v>51</v>
      </c>
      <c r="T180" s="461">
        <f t="shared" si="109"/>
        <v>4</v>
      </c>
      <c r="U180" s="461" t="str">
        <f t="shared" si="110"/>
        <v>27</v>
      </c>
      <c r="V180" s="461" t="str">
        <f t="shared" si="110"/>
        <v>A.O. Lesgo</v>
      </c>
      <c r="W180" s="461">
        <f ca="1">IF($U180="","",SUMPRODUCT(--(Lineups!$AB$88:$AB$163=$U180),--(Lineups!$X$88:$X$163=""),Lineups!$S$88:$S$163))</f>
        <v>0</v>
      </c>
      <c r="Y180" s="472">
        <f ca="1">IF($U180="","",SUMPRODUCT(--(Lineups!$AB$88:$AB$163=$U180),--(Lineups!$X$88:$X$163="X"),Lineups!$S$88:$S$163))</f>
        <v>0</v>
      </c>
      <c r="Z180" s="472">
        <f ca="1">IF(U180="","",(SUMPRODUCT(--(Lineups!$AE$88:$AE$163=$U180),Lineups!$S$88:$S$163)))</f>
        <v>2</v>
      </c>
      <c r="AA180" s="472">
        <f ca="1">IF(U180="","",(SUMPRODUCT(--(Lineups!$AH$88:$AH$163=$U180),Lineups!$S$88:$S$163)))</f>
        <v>13</v>
      </c>
      <c r="AB180" s="472">
        <f ca="1">IF(U180="","",(SUMPRODUCT(--(Lineups!$AK$88:$AK$163=$U180),Lineups!$S$88:$S$163)))</f>
        <v>0</v>
      </c>
      <c r="AC180" s="461">
        <f t="shared" ca="1" si="111"/>
        <v>15</v>
      </c>
      <c r="AE180" s="461">
        <f t="shared" ca="1" si="112"/>
        <v>15</v>
      </c>
      <c r="AH180" s="461">
        <f ca="1">IF($U180="","",SUMPRODUCT(--(Lineups!$Y$88:$Y$163=$U180),Lineups!$S$88:$S$163))</f>
        <v>0</v>
      </c>
      <c r="AJ180" s="461">
        <f t="shared" ca="1" si="113"/>
        <v>15</v>
      </c>
    </row>
    <row r="181" spans="1:36">
      <c r="A181" s="94">
        <f t="shared" si="104"/>
        <v>5</v>
      </c>
      <c r="B181" s="94" t="str">
        <f t="shared" si="105"/>
        <v>1879</v>
      </c>
      <c r="C181" s="94" t="str">
        <f t="shared" si="105"/>
        <v>Belle Isle Hurtya</v>
      </c>
      <c r="D181" s="94">
        <f ca="1">IF($B181="","",SUMPRODUCT(--(Lineups!$F$88:$F$163=$B181),--(Lineups!$B$88:$B$163=""),Lineups!$AO$88:$AO$163))</f>
        <v>0</v>
      </c>
      <c r="F181" s="472">
        <f ca="1">IF($B181="","",SUMPRODUCT(--(Lineups!$F$88:$F$163=$B181),--(Lineups!$B$88:$B$163="X"),Lineups!$AO$88:$AO$163))</f>
        <v>3</v>
      </c>
      <c r="G181" s="472">
        <f ca="1">IF($B181="","",SUMPRODUCT(--(Lineups!$I$88:$I$163=$B181),Lineups!$AO$88:$AO$163))</f>
        <v>0</v>
      </c>
      <c r="H181" s="472">
        <f ca="1">IF($B181="","",SUMPRODUCT(--(Lineups!$L$88:$L$163=$B181),Lineups!$AO$88:$AO$163))</f>
        <v>0</v>
      </c>
      <c r="I181" s="472">
        <f ca="1">IF($B181="","",SUMPRODUCT(--(Lineups!$O$88:$O$163=$B181),Lineups!$AO$88:$AO$163))</f>
        <v>0</v>
      </c>
      <c r="J181" s="94">
        <f t="shared" ca="1" si="106"/>
        <v>3</v>
      </c>
      <c r="L181" s="94">
        <f t="shared" ca="1" si="107"/>
        <v>3</v>
      </c>
      <c r="O181" s="94">
        <f ca="1">IF($B181="","",SUMPRODUCT(--(Lineups!$C$88:$C$163=$B181),Lineups!$AO$88:$AO$163))</f>
        <v>0</v>
      </c>
      <c r="Q181" s="94">
        <f t="shared" ca="1" si="108"/>
        <v>3</v>
      </c>
      <c r="T181" s="94">
        <f t="shared" si="109"/>
        <v>5</v>
      </c>
      <c r="U181" s="94" t="str">
        <f t="shared" si="110"/>
        <v>38DD</v>
      </c>
      <c r="V181" s="94" t="str">
        <f t="shared" si="110"/>
        <v>Tig O' Hitties</v>
      </c>
      <c r="W181" s="94">
        <f ca="1">IF($U181="","",SUMPRODUCT(--(Lineups!$AB$88:$AB$163=$U181),--(Lineups!$X$88:$X$163=""),Lineups!$S$88:$S$163))</f>
        <v>0</v>
      </c>
      <c r="Y181" s="472">
        <f ca="1">IF($U181="","",SUMPRODUCT(--(Lineups!$AB$88:$AB$163=$U181),--(Lineups!$X$88:$X$163="X"),Lineups!$S$88:$S$163))</f>
        <v>0</v>
      </c>
      <c r="Z181" s="472">
        <f ca="1">IF(U181="","",(SUMPRODUCT(--(Lineups!$AE$88:$AE$163=$U181),Lineups!$S$88:$S$163)))</f>
        <v>4</v>
      </c>
      <c r="AA181" s="472">
        <f ca="1">IF(U181="","",(SUMPRODUCT(--(Lineups!$AH$88:$AH$163=$U181),Lineups!$S$88:$S$163)))</f>
        <v>5</v>
      </c>
      <c r="AB181" s="472">
        <f ca="1">IF(U181="","",(SUMPRODUCT(--(Lineups!$AK$88:$AK$163=$U181),Lineups!$S$88:$S$163)))</f>
        <v>0</v>
      </c>
      <c r="AC181" s="94">
        <f t="shared" ca="1" si="111"/>
        <v>9</v>
      </c>
      <c r="AE181" s="94">
        <f t="shared" ca="1" si="112"/>
        <v>9</v>
      </c>
      <c r="AH181" s="94">
        <f ca="1">IF($U181="","",SUMPRODUCT(--(Lineups!$Y$88:$Y$163=$U181),Lineups!$S$88:$S$163))</f>
        <v>0</v>
      </c>
      <c r="AJ181" s="94">
        <f t="shared" ca="1" si="113"/>
        <v>9</v>
      </c>
    </row>
    <row r="182" spans="1:36">
      <c r="A182" s="461">
        <f t="shared" si="104"/>
        <v>6</v>
      </c>
      <c r="B182" s="461" t="str">
        <f t="shared" si="105"/>
        <v>20</v>
      </c>
      <c r="C182" s="461" t="str">
        <f t="shared" si="105"/>
        <v>Devil Kitty</v>
      </c>
      <c r="D182" s="461">
        <f ca="1">IF($B182="","",SUMPRODUCT(--(Lineups!$F$88:$F$163=$B182),--(Lineups!$B$88:$B$163=""),Lineups!$AO$88:$AO$163))</f>
        <v>36</v>
      </c>
      <c r="F182" s="472">
        <f ca="1">IF($B182="","",SUMPRODUCT(--(Lineups!$F$88:$F$163=$B182),--(Lineups!$B$88:$B$163="X"),Lineups!$AO$88:$AO$163))</f>
        <v>0</v>
      </c>
      <c r="G182" s="472">
        <f ca="1">IF($B182="","",SUMPRODUCT(--(Lineups!$I$88:$I$163=$B182),Lineups!$AO$88:$AO$163))</f>
        <v>3</v>
      </c>
      <c r="H182" s="472">
        <f ca="1">IF($B182="","",SUMPRODUCT(--(Lineups!$L$88:$L$163=$B182),Lineups!$AO$88:$AO$163))</f>
        <v>0</v>
      </c>
      <c r="I182" s="472">
        <f ca="1">IF($B182="","",SUMPRODUCT(--(Lineups!$O$88:$O$163=$B182),Lineups!$AO$88:$AO$163))</f>
        <v>4</v>
      </c>
      <c r="J182" s="461">
        <f t="shared" ca="1" si="106"/>
        <v>7</v>
      </c>
      <c r="L182" s="461">
        <f t="shared" ca="1" si="107"/>
        <v>43</v>
      </c>
      <c r="O182" s="461">
        <f ca="1">IF($B182="","",SUMPRODUCT(--(Lineups!$C$88:$C$163=$B182),Lineups!$AO$88:$AO$163))</f>
        <v>0</v>
      </c>
      <c r="Q182" s="461">
        <f t="shared" ca="1" si="108"/>
        <v>43</v>
      </c>
      <c r="T182" s="461">
        <f t="shared" si="109"/>
        <v>6</v>
      </c>
      <c r="U182" s="461" t="str">
        <f t="shared" si="110"/>
        <v>42</v>
      </c>
      <c r="V182" s="461" t="str">
        <f t="shared" si="110"/>
        <v>Midnite Vulture</v>
      </c>
      <c r="W182" s="461">
        <f ca="1">IF($U182="","",SUMPRODUCT(--(Lineups!$AB$88:$AB$163=$U182),--(Lineups!$X$88:$X$163=""),Lineups!$S$88:$S$163))</f>
        <v>0</v>
      </c>
      <c r="Y182" s="472">
        <f ca="1">IF($U182="","",SUMPRODUCT(--(Lineups!$AB$88:$AB$163=$U182),--(Lineups!$X$88:$X$163="X"),Lineups!$S$88:$S$163))</f>
        <v>0</v>
      </c>
      <c r="Z182" s="472">
        <f ca="1">IF(U182="","",(SUMPRODUCT(--(Lineups!$AE$88:$AE$163=$U182),Lineups!$S$88:$S$163)))</f>
        <v>0</v>
      </c>
      <c r="AA182" s="472">
        <f ca="1">IF(U182="","",(SUMPRODUCT(--(Lineups!$AH$88:$AH$163=$U182),Lineups!$S$88:$S$163)))</f>
        <v>0</v>
      </c>
      <c r="AB182" s="472">
        <f ca="1">IF(U182="","",(SUMPRODUCT(--(Lineups!$AK$88:$AK$163=$U182),Lineups!$S$88:$S$163)))</f>
        <v>5</v>
      </c>
      <c r="AC182" s="461">
        <f t="shared" ca="1" si="111"/>
        <v>5</v>
      </c>
      <c r="AE182" s="461">
        <f t="shared" ca="1" si="112"/>
        <v>5</v>
      </c>
      <c r="AH182" s="461">
        <f ca="1">IF($U182="","",SUMPRODUCT(--(Lineups!$Y$88:$Y$163=$U182),Lineups!$S$88:$S$163))</f>
        <v>0</v>
      </c>
      <c r="AJ182" s="461">
        <f t="shared" ca="1" si="113"/>
        <v>5</v>
      </c>
    </row>
    <row r="183" spans="1:36">
      <c r="A183" s="94">
        <f t="shared" si="104"/>
        <v>7</v>
      </c>
      <c r="B183" s="94" t="str">
        <f t="shared" si="105"/>
        <v>20KN</v>
      </c>
      <c r="C183" s="94" t="str">
        <f t="shared" si="105"/>
        <v>Kraken Whips</v>
      </c>
      <c r="D183" s="94">
        <f ca="1">IF($B183="","",SUMPRODUCT(--(Lineups!$F$88:$F$163=$B183),--(Lineups!$B$88:$B$163=""),Lineups!$AO$88:$AO$163))</f>
        <v>0</v>
      </c>
      <c r="F183" s="472">
        <f ca="1">IF($B183="","",SUMPRODUCT(--(Lineups!$F$88:$F$163=$B183),--(Lineups!$B$88:$B$163="X"),Lineups!$AO$88:$AO$163))</f>
        <v>0</v>
      </c>
      <c r="G183" s="472">
        <f ca="1">IF($B183="","",SUMPRODUCT(--(Lineups!$I$88:$I$163=$B183),Lineups!$AO$88:$AO$163))</f>
        <v>4</v>
      </c>
      <c r="H183" s="472">
        <f ca="1">IF($B183="","",SUMPRODUCT(--(Lineups!$L$88:$L$163=$B183),Lineups!$AO$88:$AO$163))</f>
        <v>19</v>
      </c>
      <c r="I183" s="472">
        <f ca="1">IF($B183="","",SUMPRODUCT(--(Lineups!$O$88:$O$163=$B183),Lineups!$AO$88:$AO$163))</f>
        <v>0</v>
      </c>
      <c r="J183" s="94">
        <f t="shared" ca="1" si="106"/>
        <v>23</v>
      </c>
      <c r="L183" s="94">
        <f t="shared" ca="1" si="107"/>
        <v>23</v>
      </c>
      <c r="O183" s="94">
        <f ca="1">IF($B183="","",SUMPRODUCT(--(Lineups!$C$88:$C$163=$B183),Lineups!$AO$88:$AO$163))</f>
        <v>0</v>
      </c>
      <c r="Q183" s="94">
        <f t="shared" ca="1" si="108"/>
        <v>23</v>
      </c>
      <c r="T183" s="94">
        <f t="shared" si="109"/>
        <v>7</v>
      </c>
      <c r="U183" s="94" t="str">
        <f t="shared" si="110"/>
        <v>50</v>
      </c>
      <c r="V183" s="94" t="str">
        <f t="shared" si="110"/>
        <v>Sam-I-Slam</v>
      </c>
      <c r="W183" s="94">
        <f ca="1">IF($U183="","",SUMPRODUCT(--(Lineups!$AB$88:$AB$163=$U183),--(Lineups!$X$88:$X$163=""),Lineups!$S$88:$S$163))</f>
        <v>0</v>
      </c>
      <c r="Y183" s="472">
        <f ca="1">IF($U183="","",SUMPRODUCT(--(Lineups!$AB$88:$AB$163=$U183),--(Lineups!$X$88:$X$163="X"),Lineups!$S$88:$S$163))</f>
        <v>0</v>
      </c>
      <c r="Z183" s="472">
        <f ca="1">IF(U183="","",(SUMPRODUCT(--(Lineups!$AE$88:$AE$163=$U183),Lineups!$S$88:$S$163)))</f>
        <v>0</v>
      </c>
      <c r="AA183" s="472">
        <f ca="1">IF(U183="","",(SUMPRODUCT(--(Lineups!$AH$88:$AH$163=$U183),Lineups!$S$88:$S$163)))</f>
        <v>0</v>
      </c>
      <c r="AB183" s="472">
        <f ca="1">IF(U183="","",(SUMPRODUCT(--(Lineups!$AK$88:$AK$163=$U183),Lineups!$S$88:$S$163)))</f>
        <v>0</v>
      </c>
      <c r="AC183" s="94">
        <f t="shared" ca="1" si="111"/>
        <v>0</v>
      </c>
      <c r="AE183" s="94">
        <f t="shared" ca="1" si="112"/>
        <v>0</v>
      </c>
      <c r="AH183" s="94">
        <f ca="1">IF($U183="","",SUMPRODUCT(--(Lineups!$Y$88:$Y$163=$U183),Lineups!$S$88:$S$163))</f>
        <v>9</v>
      </c>
      <c r="AJ183" s="94">
        <f t="shared" ca="1" si="113"/>
        <v>9</v>
      </c>
    </row>
    <row r="184" spans="1:36">
      <c r="A184" s="461">
        <f t="shared" si="104"/>
        <v>8</v>
      </c>
      <c r="B184" s="461" t="str">
        <f t="shared" si="105"/>
        <v>212</v>
      </c>
      <c r="C184" s="461" t="str">
        <f t="shared" si="105"/>
        <v>Wham!tramck</v>
      </c>
      <c r="D184" s="461">
        <f ca="1">IF($B184="","",SUMPRODUCT(--(Lineups!$F$88:$F$163=$B184),--(Lineups!$B$88:$B$163=""),Lineups!$AO$88:$AO$163))</f>
        <v>0</v>
      </c>
      <c r="F184" s="472">
        <f ca="1">IF($B184="","",SUMPRODUCT(--(Lineups!$F$88:$F$163=$B184),--(Lineups!$B$88:$B$163="X"),Lineups!$AO$88:$AO$163))</f>
        <v>0</v>
      </c>
      <c r="G184" s="472">
        <f ca="1">IF($B184="","",SUMPRODUCT(--(Lineups!$I$88:$I$163=$B184),Lineups!$AO$88:$AO$163))</f>
        <v>1</v>
      </c>
      <c r="H184" s="472">
        <f ca="1">IF($B184="","",SUMPRODUCT(--(Lineups!$L$88:$L$163=$B184),Lineups!$AO$88:$AO$163))</f>
        <v>12</v>
      </c>
      <c r="I184" s="472">
        <f ca="1">IF($B184="","",SUMPRODUCT(--(Lineups!$O$88:$O$163=$B184),Lineups!$AO$88:$AO$163))</f>
        <v>12</v>
      </c>
      <c r="J184" s="461">
        <f t="shared" ca="1" si="106"/>
        <v>25</v>
      </c>
      <c r="L184" s="461">
        <f t="shared" ca="1" si="107"/>
        <v>25</v>
      </c>
      <c r="O184" s="461">
        <f ca="1">IF($B184="","",SUMPRODUCT(--(Lineups!$C$88:$C$163=$B184),Lineups!$AO$88:$AO$163))</f>
        <v>0</v>
      </c>
      <c r="Q184" s="461">
        <f t="shared" ca="1" si="108"/>
        <v>25</v>
      </c>
      <c r="T184" s="461">
        <f t="shared" si="109"/>
        <v>8</v>
      </c>
      <c r="U184" s="461" t="str">
        <f t="shared" si="110"/>
        <v>620</v>
      </c>
      <c r="V184" s="461" t="str">
        <f t="shared" si="110"/>
        <v>Lazer Beam</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0</v>
      </c>
      <c r="AB184" s="472">
        <f ca="1">IF(U184="","",(SUMPRODUCT(--(Lineups!$AK$88:$AK$163=$U184),Lineups!$S$88:$S$163)))</f>
        <v>0</v>
      </c>
      <c r="AC184" s="461">
        <f t="shared" ca="1" si="111"/>
        <v>0</v>
      </c>
      <c r="AE184" s="461">
        <f t="shared" ca="1" si="112"/>
        <v>0</v>
      </c>
      <c r="AH184" s="461">
        <f ca="1">IF($U184="","",SUMPRODUCT(--(Lineups!$Y$88:$Y$163=$U184),Lineups!$S$88:$S$163))</f>
        <v>30</v>
      </c>
      <c r="AJ184" s="461">
        <f t="shared" ca="1" si="113"/>
        <v>30</v>
      </c>
    </row>
    <row r="185" spans="1:36">
      <c r="A185" s="94">
        <f t="shared" si="104"/>
        <v>9</v>
      </c>
      <c r="B185" s="94" t="str">
        <f t="shared" si="105"/>
        <v>33 1/3</v>
      </c>
      <c r="C185" s="94" t="str">
        <f t="shared" si="105"/>
        <v>Cookie Rumble</v>
      </c>
      <c r="D185" s="94">
        <f ca="1">IF($B185="","",SUMPRODUCT(--(Lineups!$F$88:$F$163=$B185),--(Lineups!$B$88:$B$163=""),Lineups!$AO$88:$AO$163))</f>
        <v>2</v>
      </c>
      <c r="F185" s="472">
        <f ca="1">IF($B185="","",SUMPRODUCT(--(Lineups!$F$88:$F$163=$B185),--(Lineups!$B$88:$B$163="X"),Lineups!$AO$88:$AO$163))</f>
        <v>0</v>
      </c>
      <c r="G185" s="472">
        <f ca="1">IF($B185="","",SUMPRODUCT(--(Lineups!$I$88:$I$163=$B185),Lineups!$AO$88:$AO$163))</f>
        <v>13</v>
      </c>
      <c r="H185" s="472">
        <f ca="1">IF($B185="","",SUMPRODUCT(--(Lineups!$L$88:$L$163=$B185),Lineups!$AO$88:$AO$163))</f>
        <v>4</v>
      </c>
      <c r="I185" s="472">
        <f ca="1">IF($B185="","",SUMPRODUCT(--(Lineups!$O$88:$O$163=$B185),Lineups!$AO$88:$AO$163))</f>
        <v>24</v>
      </c>
      <c r="J185" s="94">
        <f t="shared" ca="1" si="106"/>
        <v>41</v>
      </c>
      <c r="L185" s="94">
        <f t="shared" ca="1" si="107"/>
        <v>43</v>
      </c>
      <c r="O185" s="94">
        <f ca="1">IF($B185="","",SUMPRODUCT(--(Lineups!$C$88:$C$163=$B185),Lineups!$AO$88:$AO$163))</f>
        <v>4</v>
      </c>
      <c r="Q185" s="94">
        <f t="shared" ca="1" si="108"/>
        <v>47</v>
      </c>
      <c r="T185" s="94">
        <f t="shared" si="109"/>
        <v>9</v>
      </c>
      <c r="U185" s="94" t="str">
        <f t="shared" si="110"/>
        <v>7</v>
      </c>
      <c r="V185" s="94" t="str">
        <f t="shared" si="110"/>
        <v>CottonCandy Princess</v>
      </c>
      <c r="W185" s="94">
        <f ca="1">IF($U185="","",SUMPRODUCT(--(Lineups!$AB$88:$AB$163=$U185),--(Lineups!$X$88:$X$163=""),Lineups!$S$88:$S$163))</f>
        <v>9</v>
      </c>
      <c r="Y185" s="472">
        <f ca="1">IF($U185="","",SUMPRODUCT(--(Lineups!$AB$88:$AB$163=$U185),--(Lineups!$X$88:$X$163="X"),Lineups!$S$88:$S$163))</f>
        <v>0</v>
      </c>
      <c r="Z185" s="472">
        <f ca="1">IF(U185="","",(SUMPRODUCT(--(Lineups!$AE$88:$AE$163=$U185),Lineups!$S$88:$S$163)))</f>
        <v>3</v>
      </c>
      <c r="AA185" s="472">
        <f ca="1">IF(U185="","",(SUMPRODUCT(--(Lineups!$AH$88:$AH$163=$U185),Lineups!$S$88:$S$163)))</f>
        <v>10</v>
      </c>
      <c r="AB185" s="472">
        <f ca="1">IF(U185="","",(SUMPRODUCT(--(Lineups!$AK$88:$AK$163=$U185),Lineups!$S$88:$S$163)))</f>
        <v>15</v>
      </c>
      <c r="AC185" s="94">
        <f t="shared" ca="1" si="111"/>
        <v>28</v>
      </c>
      <c r="AE185" s="94">
        <f t="shared" ca="1" si="112"/>
        <v>37</v>
      </c>
      <c r="AH185" s="94">
        <f ca="1">IF($U185="","",SUMPRODUCT(--(Lineups!$Y$88:$Y$163=$U185),Lineups!$S$88:$S$163))</f>
        <v>0</v>
      </c>
      <c r="AJ185" s="94">
        <f t="shared" ca="1" si="113"/>
        <v>37</v>
      </c>
    </row>
    <row r="186" spans="1:36">
      <c r="A186" s="461">
        <f t="shared" si="104"/>
        <v>10</v>
      </c>
      <c r="B186" s="461" t="str">
        <f t="shared" si="105"/>
        <v>428</v>
      </c>
      <c r="C186" s="461" t="str">
        <f t="shared" si="105"/>
        <v>Freakin' Rican</v>
      </c>
      <c r="D186" s="461">
        <f ca="1">IF($B186="","",SUMPRODUCT(--(Lineups!$F$88:$F$163=$B186),--(Lineups!$B$88:$B$163=""),Lineups!$AO$88:$AO$163))</f>
        <v>9</v>
      </c>
      <c r="F186" s="472">
        <f ca="1">IF($B186="","",SUMPRODUCT(--(Lineups!$F$88:$F$163=$B186),--(Lineups!$B$88:$B$163="X"),Lineups!$AO$88:$AO$163))</f>
        <v>0</v>
      </c>
      <c r="G186" s="472">
        <f ca="1">IF($B186="","",SUMPRODUCT(--(Lineups!$I$88:$I$163=$B186),Lineups!$AO$88:$AO$163))</f>
        <v>0</v>
      </c>
      <c r="H186" s="472">
        <f ca="1">IF($B186="","",SUMPRODUCT(--(Lineups!$L$88:$L$163=$B186),Lineups!$AO$88:$AO$163))</f>
        <v>0</v>
      </c>
      <c r="I186" s="472">
        <f ca="1">IF($B186="","",SUMPRODUCT(--(Lineups!$O$88:$O$163=$B186),Lineups!$AO$88:$AO$163))</f>
        <v>0</v>
      </c>
      <c r="J186" s="461">
        <f t="shared" ca="1" si="106"/>
        <v>0</v>
      </c>
      <c r="L186" s="461">
        <f t="shared" ca="1" si="107"/>
        <v>9</v>
      </c>
      <c r="O186" s="461">
        <f ca="1">IF($B186="","",SUMPRODUCT(--(Lineups!$C$88:$C$163=$B186),Lineups!$AO$88:$AO$163))</f>
        <v>39</v>
      </c>
      <c r="Q186" s="461">
        <f t="shared" ca="1" si="108"/>
        <v>48</v>
      </c>
      <c r="T186" s="461">
        <f t="shared" si="109"/>
        <v>10</v>
      </c>
      <c r="U186" s="461" t="str">
        <f t="shared" si="110"/>
        <v>72</v>
      </c>
      <c r="V186" s="461" t="str">
        <f t="shared" si="110"/>
        <v>Demonica Mars</v>
      </c>
      <c r="W186" s="461">
        <f ca="1">IF($U186="","",SUMPRODUCT(--(Lineups!$AB$88:$AB$163=$U186),--(Lineups!$X$88:$X$163=""),Lineups!$S$88:$S$163))</f>
        <v>0</v>
      </c>
      <c r="Y186" s="472">
        <f ca="1">IF($U186="","",SUMPRODUCT(--(Lineups!$AB$88:$AB$163=$U186),--(Lineups!$X$88:$X$163="X"),Lineups!$S$88:$S$163))</f>
        <v>0</v>
      </c>
      <c r="Z186" s="472">
        <f ca="1">IF(U186="","",(SUMPRODUCT(--(Lineups!$AE$88:$AE$163=$U186),Lineups!$S$88:$S$163)))</f>
        <v>0</v>
      </c>
      <c r="AA186" s="472">
        <f ca="1">IF(U186="","",(SUMPRODUCT(--(Lineups!$AH$88:$AH$163=$U186),Lineups!$S$88:$S$163)))</f>
        <v>0</v>
      </c>
      <c r="AB186" s="472">
        <f ca="1">IF(U186="","",(SUMPRODUCT(--(Lineups!$AK$88:$AK$163=$U186),Lineups!$S$88:$S$163)))</f>
        <v>3</v>
      </c>
      <c r="AC186" s="461">
        <f t="shared" ca="1" si="111"/>
        <v>3</v>
      </c>
      <c r="AE186" s="461">
        <f t="shared" ca="1" si="112"/>
        <v>3</v>
      </c>
      <c r="AH186" s="461">
        <f ca="1">IF($U186="","",SUMPRODUCT(--(Lineups!$Y$88:$Y$163=$U186),Lineups!$S$88:$S$163))</f>
        <v>13</v>
      </c>
      <c r="AJ186" s="461">
        <f t="shared" ca="1" si="113"/>
        <v>16</v>
      </c>
    </row>
    <row r="187" spans="1:36">
      <c r="A187" s="94">
        <f t="shared" si="104"/>
        <v>11</v>
      </c>
      <c r="B187" s="94" t="str">
        <f t="shared" si="105"/>
        <v>6</v>
      </c>
      <c r="C187" s="94" t="str">
        <f t="shared" si="105"/>
        <v>Elle McFearsome</v>
      </c>
      <c r="D187" s="94">
        <f ca="1">IF($B187="","",SUMPRODUCT(--(Lineups!$F$88:$F$163=$B187),--(Lineups!$B$88:$B$163=""),Lineups!$AO$88:$AO$163))</f>
        <v>26</v>
      </c>
      <c r="F187" s="472">
        <f ca="1">IF($B187="","",SUMPRODUCT(--(Lineups!$F$88:$F$163=$B187),--(Lineups!$B$88:$B$163="X"),Lineups!$AO$88:$AO$163))</f>
        <v>0</v>
      </c>
      <c r="G187" s="472">
        <f ca="1">IF($B187="","",SUMPRODUCT(--(Lineups!$I$88:$I$163=$B187),Lineups!$AO$88:$AO$163))</f>
        <v>0</v>
      </c>
      <c r="H187" s="472">
        <f ca="1">IF($B187="","",SUMPRODUCT(--(Lineups!$L$88:$L$163=$B187),Lineups!$AO$88:$AO$163))</f>
        <v>0</v>
      </c>
      <c r="I187" s="472">
        <f ca="1">IF($B187="","",SUMPRODUCT(--(Lineups!$O$88:$O$163=$B187),Lineups!$AO$88:$AO$163))</f>
        <v>0</v>
      </c>
      <c r="J187" s="94">
        <f t="shared" ca="1" si="106"/>
        <v>0</v>
      </c>
      <c r="L187" s="94">
        <f t="shared" ca="1" si="107"/>
        <v>26</v>
      </c>
      <c r="O187" s="94">
        <f ca="1">IF($B187="","",SUMPRODUCT(--(Lineups!$C$88:$C$163=$B187),Lineups!$AO$88:$AO$163))</f>
        <v>0</v>
      </c>
      <c r="Q187" s="94">
        <f t="shared" ca="1" si="108"/>
        <v>26</v>
      </c>
      <c r="T187" s="94">
        <f t="shared" si="109"/>
        <v>11</v>
      </c>
      <c r="U187" s="94" t="str">
        <f t="shared" si="110"/>
        <v>9.81</v>
      </c>
      <c r="V187" s="94" t="str">
        <f t="shared" si="110"/>
        <v>Uhura Belle Death</v>
      </c>
      <c r="W187" s="94">
        <f ca="1">IF($U187="","",SUMPRODUCT(--(Lineups!$AB$88:$AB$163=$U187),--(Lineups!$X$88:$X$163=""),Lineups!$S$88:$S$163))</f>
        <v>0</v>
      </c>
      <c r="Y187" s="472">
        <f ca="1">IF($U187="","",SUMPRODUCT(--(Lineups!$AB$88:$AB$163=$U187),--(Lineups!$X$88:$X$163="X"),Lineups!$S$88:$S$163))</f>
        <v>0</v>
      </c>
      <c r="Z187" s="472">
        <f ca="1">IF(U187="","",(SUMPRODUCT(--(Lineups!$AE$88:$AE$163=$U187),Lineups!$S$88:$S$163)))</f>
        <v>0</v>
      </c>
      <c r="AA187" s="472">
        <f ca="1">IF(U187="","",(SUMPRODUCT(--(Lineups!$AH$88:$AH$163=$U187),Lineups!$S$88:$S$163)))</f>
        <v>0</v>
      </c>
      <c r="AB187" s="472">
        <f ca="1">IF(U187="","",(SUMPRODUCT(--(Lineups!$AK$88:$AK$163=$U187),Lineups!$S$88:$S$163)))</f>
        <v>0</v>
      </c>
      <c r="AC187" s="94">
        <f t="shared" ca="1" si="111"/>
        <v>0</v>
      </c>
      <c r="AE187" s="94">
        <f t="shared" ca="1" si="112"/>
        <v>0</v>
      </c>
      <c r="AH187" s="94">
        <f ca="1">IF($U187="","",SUMPRODUCT(--(Lineups!$Y$88:$Y$163=$U187),Lineups!$S$88:$S$163))</f>
        <v>15</v>
      </c>
      <c r="AJ187" s="94">
        <f t="shared" ca="1" si="113"/>
        <v>15</v>
      </c>
    </row>
    <row r="188" spans="1:36">
      <c r="A188" s="461">
        <f t="shared" si="104"/>
        <v>12</v>
      </c>
      <c r="B188" s="461" t="str">
        <f t="shared" si="105"/>
        <v>728</v>
      </c>
      <c r="C188" s="461" t="str">
        <f t="shared" si="105"/>
        <v>Combat Cat</v>
      </c>
      <c r="D188" s="461">
        <f ca="1">IF($B188="","",SUMPRODUCT(--(Lineups!$F$88:$F$163=$B188),--(Lineups!$B$88:$B$163=""),Lineups!$AO$88:$AO$163))</f>
        <v>0</v>
      </c>
      <c r="F188" s="472">
        <f ca="1">IF($B188="","",SUMPRODUCT(--(Lineups!$F$88:$F$163=$B188),--(Lineups!$B$88:$B$163="X"),Lineups!$AO$88:$AO$163))</f>
        <v>0</v>
      </c>
      <c r="G188" s="472">
        <f ca="1">IF($B188="","",SUMPRODUCT(--(Lineups!$I$88:$I$163=$B188),Lineups!$AO$88:$AO$163))</f>
        <v>4</v>
      </c>
      <c r="H188" s="472">
        <f ca="1">IF($B188="","",SUMPRODUCT(--(Lineups!$L$88:$L$163=$B188),Lineups!$AO$88:$AO$163))</f>
        <v>0</v>
      </c>
      <c r="I188" s="472">
        <f ca="1">IF($B188="","",SUMPRODUCT(--(Lineups!$O$88:$O$163=$B188),Lineups!$AO$88:$AO$163))</f>
        <v>2</v>
      </c>
      <c r="J188" s="461">
        <f t="shared" ca="1" si="106"/>
        <v>6</v>
      </c>
      <c r="L188" s="461">
        <f t="shared" ca="1" si="107"/>
        <v>6</v>
      </c>
      <c r="O188" s="461">
        <f ca="1">IF($B188="","",SUMPRODUCT(--(Lineups!$C$88:$C$163=$B188),Lineups!$AO$88:$AO$163))</f>
        <v>28</v>
      </c>
      <c r="Q188" s="461">
        <f t="shared" ca="1" si="108"/>
        <v>34</v>
      </c>
      <c r="T188" s="461">
        <f t="shared" si="109"/>
        <v>12</v>
      </c>
      <c r="U188" s="461" t="str">
        <f t="shared" si="110"/>
        <v>I-75</v>
      </c>
      <c r="V188" s="461" t="str">
        <f t="shared" si="110"/>
        <v>Diesel Doll</v>
      </c>
      <c r="W188" s="461">
        <f ca="1">IF($U188="","",SUMPRODUCT(--(Lineups!$AB$88:$AB$163=$U188),--(Lineups!$X$88:$X$163=""),Lineups!$S$88:$S$163))</f>
        <v>33</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13</v>
      </c>
      <c r="AC188" s="461">
        <f t="shared" ca="1" si="111"/>
        <v>13</v>
      </c>
      <c r="AE188" s="461">
        <f t="shared" ca="1" si="112"/>
        <v>46</v>
      </c>
      <c r="AH188" s="461">
        <f ca="1">IF($U188="","",SUMPRODUCT(--(Lineups!$Y$88:$Y$163=$U188),Lineups!$S$88:$S$163))</f>
        <v>0</v>
      </c>
      <c r="AJ188" s="461">
        <f t="shared" ca="1" si="113"/>
        <v>46</v>
      </c>
    </row>
    <row r="189" spans="1:36">
      <c r="A189" s="94">
        <f t="shared" si="104"/>
        <v>13</v>
      </c>
      <c r="B189" s="94" t="str">
        <f t="shared" si="105"/>
        <v>80</v>
      </c>
      <c r="C189" s="94" t="str">
        <f t="shared" si="105"/>
        <v>Mean Streak</v>
      </c>
      <c r="D189" s="94">
        <f ca="1">IF($B189="","",SUMPRODUCT(--(Lineups!$F$88:$F$163=$B189),--(Lineups!$B$88:$B$163=""),Lineups!$AO$88:$AO$163))</f>
        <v>0</v>
      </c>
      <c r="F189" s="472">
        <f ca="1">IF($B189="","",SUMPRODUCT(--(Lineups!$F$88:$F$163=$B189),--(Lineups!$B$88:$B$163="X"),Lineups!$AO$88:$AO$163))</f>
        <v>0</v>
      </c>
      <c r="G189" s="472">
        <f ca="1">IF($B189="","",SUMPRODUCT(--(Lineups!$I$88:$I$163=$B189),Lineups!$AO$88:$AO$163))</f>
        <v>4</v>
      </c>
      <c r="H189" s="472">
        <f ca="1">IF($B189="","",SUMPRODUCT(--(Lineups!$L$88:$L$163=$B189),Lineups!$AO$88:$AO$163))</f>
        <v>0</v>
      </c>
      <c r="I189" s="472">
        <f ca="1">IF($B189="","",SUMPRODUCT(--(Lineups!$O$88:$O$163=$B189),Lineups!$AO$88:$AO$163))</f>
        <v>0</v>
      </c>
      <c r="J189" s="94">
        <f t="shared" ca="1" si="106"/>
        <v>4</v>
      </c>
      <c r="L189" s="94">
        <f t="shared" ca="1" si="107"/>
        <v>4</v>
      </c>
      <c r="O189" s="94">
        <f ca="1">IF($B189="","",SUMPRODUCT(--(Lineups!$C$88:$C$163=$B189),Lineups!$AO$88:$AO$163))</f>
        <v>5</v>
      </c>
      <c r="Q189" s="94">
        <f t="shared" ca="1" si="108"/>
        <v>9</v>
      </c>
      <c r="T189" s="94">
        <f t="shared" si="109"/>
        <v>13</v>
      </c>
      <c r="U189" s="94" t="str">
        <f t="shared" si="110"/>
        <v>N2O</v>
      </c>
      <c r="V189" s="94" t="str">
        <f t="shared" si="110"/>
        <v>Cool Whip</v>
      </c>
      <c r="W189" s="94">
        <f ca="1">IF($U189="","",SUMPRODUCT(--(Lineups!$AB$88:$AB$163=$U189),--(Lineups!$X$88:$X$163=""),Lineups!$S$88:$S$163))</f>
        <v>10</v>
      </c>
      <c r="Y189" s="472">
        <f ca="1">IF($U189="","",SUMPRODUCT(--(Lineups!$AB$88:$AB$163=$U189),--(Lineups!$X$88:$X$163="X"),Lineups!$S$88:$S$163))</f>
        <v>0</v>
      </c>
      <c r="Z189" s="472">
        <f ca="1">IF(U189="","",(SUMPRODUCT(--(Lineups!$AE$88:$AE$163=$U189),Lineups!$S$88:$S$163)))</f>
        <v>19</v>
      </c>
      <c r="AA189" s="472">
        <f ca="1">IF(U189="","",(SUMPRODUCT(--(Lineups!$AH$88:$AH$163=$U189),Lineups!$S$88:$S$163)))</f>
        <v>13</v>
      </c>
      <c r="AB189" s="472">
        <f ca="1">IF(U189="","",(SUMPRODUCT(--(Lineups!$AK$88:$AK$163=$U189),Lineups!$S$88:$S$163)))</f>
        <v>0</v>
      </c>
      <c r="AC189" s="94">
        <f t="shared" ca="1" si="111"/>
        <v>32</v>
      </c>
      <c r="AE189" s="94">
        <f t="shared" ca="1" si="112"/>
        <v>42</v>
      </c>
      <c r="AH189" s="94">
        <f ca="1">IF($U189="","",SUMPRODUCT(--(Lineups!$Y$88:$Y$163=$U189),Lineups!$S$88:$S$163))</f>
        <v>0</v>
      </c>
      <c r="AJ189" s="94">
        <f t="shared" ca="1" si="113"/>
        <v>42</v>
      </c>
    </row>
    <row r="190" spans="1:36">
      <c r="A190" s="461">
        <f t="shared" si="104"/>
        <v>14</v>
      </c>
      <c r="B190" s="461" t="str">
        <f t="shared" si="105"/>
        <v>9.99</v>
      </c>
      <c r="C190" s="461" t="str">
        <f t="shared" si="105"/>
        <v>U.S.S. DentHerPrize</v>
      </c>
      <c r="D190" s="461">
        <f ca="1">IF($B190="","",SUMPRODUCT(--(Lineups!$F$88:$F$163=$B190),--(Lineups!$B$88:$B$163=""),Lineups!$AO$88:$AO$163))</f>
        <v>0</v>
      </c>
      <c r="F190" s="472">
        <f ca="1">IF($B190="","",SUMPRODUCT(--(Lineups!$F$88:$F$163=$B190),--(Lineups!$B$88:$B$163="X"),Lineups!$AO$88:$AO$163))</f>
        <v>0</v>
      </c>
      <c r="G190" s="472">
        <f ca="1">IF($B190="","",SUMPRODUCT(--(Lineups!$I$88:$I$163=$B190),Lineups!$AO$88:$AO$163))</f>
        <v>0</v>
      </c>
      <c r="H190" s="472">
        <f ca="1">IF($B190="","",SUMPRODUCT(--(Lineups!$L$88:$L$163=$B190),Lineups!$AO$88:$AO$163))</f>
        <v>0</v>
      </c>
      <c r="I190" s="472">
        <f ca="1">IF($B190="","",SUMPRODUCT(--(Lineups!$O$88:$O$163=$B190),Lineups!$AO$88:$AO$163))</f>
        <v>0</v>
      </c>
      <c r="J190" s="461">
        <f t="shared" ca="1" si="106"/>
        <v>0</v>
      </c>
      <c r="L190" s="461">
        <f t="shared" ca="1" si="107"/>
        <v>0</v>
      </c>
      <c r="O190" s="461">
        <f ca="1">IF($B190="","",SUMPRODUCT(--(Lineups!$C$88:$C$163=$B190),Lineups!$AO$88:$AO$163))</f>
        <v>0</v>
      </c>
      <c r="Q190" s="461">
        <f t="shared" ca="1" si="108"/>
        <v>0</v>
      </c>
      <c r="T190" s="461">
        <f t="shared" si="109"/>
        <v>14</v>
      </c>
      <c r="U190" s="461" t="str">
        <f t="shared" si="110"/>
        <v>W00T</v>
      </c>
      <c r="V190" s="461" t="str">
        <f t="shared" si="110"/>
        <v>Genniferal</v>
      </c>
      <c r="W190" s="461">
        <f ca="1">IF($U190="","",SUMPRODUCT(--(Lineups!$AB$88:$AB$163=$U190),--(Lineups!$X$88:$X$163=""),Lineups!$S$88:$S$163))</f>
        <v>15</v>
      </c>
      <c r="Y190" s="472">
        <f ca="1">IF($U190="","",SUMPRODUCT(--(Lineups!$AB$88:$AB$163=$U190),--(Lineups!$X$88:$X$163="X"),Lineups!$S$88:$S$163))</f>
        <v>0</v>
      </c>
      <c r="Z190" s="472">
        <f ca="1">IF(U190="","",(SUMPRODUCT(--(Lineups!$AE$88:$AE$163=$U190),Lineups!$S$88:$S$163)))</f>
        <v>0</v>
      </c>
      <c r="AA190" s="472">
        <f ca="1">IF(U190="","",(SUMPRODUCT(--(Lineups!$AH$88:$AH$163=$U190),Lineups!$S$88:$S$163)))</f>
        <v>0</v>
      </c>
      <c r="AB190" s="472">
        <f ca="1">IF(U190="","",(SUMPRODUCT(--(Lineups!$AK$88:$AK$163=$U190),Lineups!$S$88:$S$163)))</f>
        <v>0</v>
      </c>
      <c r="AC190" s="461">
        <f t="shared" ca="1" si="111"/>
        <v>0</v>
      </c>
      <c r="AE190" s="461">
        <f t="shared" ca="1" si="112"/>
        <v>15</v>
      </c>
      <c r="AH190" s="461">
        <f ca="1">IF($U190="","",SUMPRODUCT(--(Lineups!$Y$88:$Y$163=$U190),Lineups!$S$88:$S$163))</f>
        <v>0</v>
      </c>
      <c r="AJ190" s="461">
        <f t="shared" ca="1" si="113"/>
        <v>15</v>
      </c>
    </row>
    <row r="191" spans="1:36">
      <c r="A191" s="94">
        <f t="shared" si="104"/>
        <v>15</v>
      </c>
      <c r="B191" s="94" t="str">
        <f t="shared" si="105"/>
        <v>F14</v>
      </c>
      <c r="C191" s="94" t="str">
        <f t="shared" si="105"/>
        <v>Apertorture</v>
      </c>
      <c r="D191" s="94">
        <f ca="1">IF($B191="","",SUMPRODUCT(--(Lineups!$F$88:$F$163=$B191),--(Lineups!$B$88:$B$163=""),Lineups!$AO$88:$AO$163))</f>
        <v>0</v>
      </c>
      <c r="F191" s="472">
        <f ca="1">IF($B191="","",SUMPRODUCT(--(Lineups!$F$88:$F$163=$B191),--(Lineups!$B$88:$B$163="X"),Lineups!$AO$88:$AO$163))</f>
        <v>0</v>
      </c>
      <c r="G191" s="472">
        <f ca="1">IF($B191="","",SUMPRODUCT(--(Lineups!$I$88:$I$163=$B191),Lineups!$AO$88:$AO$163))</f>
        <v>0</v>
      </c>
      <c r="H191" s="472">
        <f ca="1">IF($B191="","",SUMPRODUCT(--(Lineups!$L$88:$L$163=$B191),Lineups!$AO$88:$AO$163))</f>
        <v>15</v>
      </c>
      <c r="I191" s="472">
        <f ca="1">IF($B191="","",SUMPRODUCT(--(Lineups!$O$88:$O$163=$B191),Lineups!$AO$88:$AO$163))</f>
        <v>0</v>
      </c>
      <c r="J191" s="94">
        <f t="shared" ca="1" si="106"/>
        <v>15</v>
      </c>
      <c r="L191" s="94">
        <f t="shared" ca="1" si="107"/>
        <v>15</v>
      </c>
      <c r="O191" s="94">
        <f ca="1">IF($B191="","",SUMPRODUCT(--(Lineups!$C$88:$C$163=$B191),Lineups!$AO$88:$AO$163))</f>
        <v>0</v>
      </c>
      <c r="Q191" s="94">
        <f t="shared" ca="1" si="108"/>
        <v>15</v>
      </c>
      <c r="T191" s="94">
        <f t="shared" si="109"/>
        <v>15</v>
      </c>
      <c r="U191" s="94" t="str">
        <f t="shared" si="110"/>
        <v>Z28</v>
      </c>
      <c r="V191" s="94" t="str">
        <f t="shared" si="110"/>
        <v>V8 Nightmare</v>
      </c>
      <c r="W191" s="94">
        <f ca="1">IF($U191="","",SUMPRODUCT(--(Lineups!$AB$88:$AB$163=$U191),--(Lineups!$X$88:$X$163=""),Lineups!$S$88:$S$163))</f>
        <v>0</v>
      </c>
      <c r="Y191" s="472">
        <f ca="1">IF($U191="","",SUMPRODUCT(--(Lineups!$AB$88:$AB$163=$U191),--(Lineups!$X$88:$X$163="X"),Lineups!$S$88:$S$163))</f>
        <v>0</v>
      </c>
      <c r="Z191" s="472">
        <f ca="1">IF(U191="","",(SUMPRODUCT(--(Lineups!$AE$88:$AE$163=$U191),Lineups!$S$88:$S$163)))</f>
        <v>0</v>
      </c>
      <c r="AA191" s="472">
        <f ca="1">IF(U191="","",(SUMPRODUCT(--(Lineups!$AH$88:$AH$163=$U191),Lineups!$S$88:$S$163)))</f>
        <v>8</v>
      </c>
      <c r="AB191" s="472">
        <f ca="1">IF(U191="","",(SUMPRODUCT(--(Lineups!$AK$88:$AK$163=$U191),Lineups!$S$88:$S$163)))</f>
        <v>0</v>
      </c>
      <c r="AC191" s="94">
        <f t="shared" ca="1" si="111"/>
        <v>8</v>
      </c>
      <c r="AE191" s="94">
        <f t="shared" ca="1" si="112"/>
        <v>8</v>
      </c>
      <c r="AH191" s="94">
        <f ca="1">IF($U191="","",SUMPRODUCT(--(Lineups!$Y$88:$Y$163=$U191),Lineups!$S$88:$S$163))</f>
        <v>0</v>
      </c>
      <c r="AJ191" s="94">
        <f t="shared" ca="1" si="113"/>
        <v>8</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53" t="s">
        <v>548</v>
      </c>
      <c r="B1" s="1353"/>
      <c r="C1" s="1353"/>
      <c r="D1" s="1353"/>
      <c r="E1" s="1353"/>
      <c r="F1" s="1353"/>
      <c r="G1" s="1353"/>
      <c r="H1" s="1353"/>
      <c r="I1" s="1353"/>
      <c r="J1" s="1353"/>
      <c r="K1" s="1353"/>
    </row>
    <row r="2" spans="1:11" ht="6" customHeight="1">
      <c r="A2" s="525"/>
      <c r="B2" s="525"/>
      <c r="C2" s="525"/>
      <c r="D2" s="525"/>
      <c r="E2" s="525"/>
      <c r="F2" s="525"/>
      <c r="G2" s="525"/>
      <c r="H2" s="526"/>
      <c r="I2" s="526"/>
      <c r="J2" s="526"/>
      <c r="K2" s="526"/>
    </row>
    <row r="3" spans="1:11" ht="45" customHeight="1">
      <c r="A3" s="1351" t="s">
        <v>681</v>
      </c>
      <c r="B3" s="1352"/>
      <c r="C3" s="1352"/>
      <c r="D3" s="1352"/>
      <c r="E3" s="1352"/>
      <c r="F3" s="1352"/>
      <c r="G3" s="1352"/>
      <c r="H3" s="1352"/>
      <c r="I3" s="1352"/>
      <c r="J3" s="1352"/>
      <c r="K3" s="1352"/>
    </row>
    <row r="4" spans="1:11" ht="6" customHeight="1">
      <c r="A4" s="525"/>
      <c r="B4" s="525"/>
      <c r="C4" s="525"/>
      <c r="D4" s="525"/>
      <c r="E4" s="525"/>
      <c r="F4" s="525"/>
      <c r="G4" s="525"/>
      <c r="H4" s="525"/>
      <c r="I4" s="525"/>
      <c r="J4" s="525"/>
      <c r="K4" s="525"/>
    </row>
    <row r="5" spans="1:11" ht="30" customHeight="1">
      <c r="A5" s="1351" t="s">
        <v>682</v>
      </c>
      <c r="B5" s="1352"/>
      <c r="C5" s="1352"/>
      <c r="D5" s="1352"/>
      <c r="E5" s="1352"/>
      <c r="F5" s="1352"/>
      <c r="G5" s="1352"/>
      <c r="H5" s="1352"/>
      <c r="I5" s="1352"/>
      <c r="J5" s="1352"/>
      <c r="K5" s="1352"/>
    </row>
    <row r="6" spans="1:11" ht="6" customHeight="1">
      <c r="A6" s="525"/>
      <c r="B6" s="525"/>
      <c r="C6" s="525"/>
      <c r="D6" s="525"/>
      <c r="E6" s="525"/>
      <c r="F6" s="525"/>
      <c r="G6" s="525"/>
      <c r="H6" s="525"/>
      <c r="I6" s="525"/>
      <c r="J6" s="525"/>
      <c r="K6" s="525"/>
    </row>
    <row r="7" spans="1:11" ht="15" customHeight="1">
      <c r="A7" s="1347" t="s">
        <v>549</v>
      </c>
      <c r="B7" s="1347"/>
      <c r="C7" s="1347"/>
      <c r="D7" s="1347"/>
      <c r="E7" s="1347"/>
      <c r="F7" s="1347"/>
      <c r="G7" s="1347"/>
      <c r="H7" s="1347"/>
      <c r="I7" s="1347"/>
      <c r="J7" s="1347"/>
      <c r="K7" s="1347"/>
    </row>
    <row r="8" spans="1:11" ht="15" customHeight="1">
      <c r="A8" s="527"/>
      <c r="B8" s="527"/>
      <c r="C8" s="527"/>
      <c r="D8" s="527"/>
      <c r="E8" s="527"/>
      <c r="F8" s="527"/>
      <c r="G8" s="527"/>
      <c r="H8" s="527"/>
      <c r="I8" s="527"/>
      <c r="J8" s="527"/>
      <c r="K8" s="527"/>
    </row>
    <row r="9" spans="1:11" s="334" customFormat="1" ht="18" customHeight="1">
      <c r="A9" s="1350" t="s">
        <v>550</v>
      </c>
      <c r="B9" s="1350"/>
      <c r="C9" s="1350"/>
      <c r="D9" s="1350"/>
      <c r="E9" s="1350"/>
      <c r="F9" s="528"/>
      <c r="G9" s="1350" t="s">
        <v>551</v>
      </c>
      <c r="H9" s="1350"/>
      <c r="I9" s="1350"/>
      <c r="J9" s="1350"/>
      <c r="K9" s="1350"/>
    </row>
    <row r="10" spans="1:11" ht="6" customHeight="1">
      <c r="A10" s="525"/>
      <c r="B10" s="525"/>
      <c r="C10" s="525"/>
      <c r="D10" s="525"/>
      <c r="E10" s="525"/>
      <c r="F10" s="525"/>
      <c r="G10" s="525"/>
      <c r="H10" s="525"/>
      <c r="I10" s="525"/>
      <c r="J10" s="525"/>
      <c r="K10" s="525"/>
    </row>
    <row r="11" spans="1:11" ht="15" customHeight="1">
      <c r="A11" s="1347" t="s">
        <v>552</v>
      </c>
      <c r="B11" s="1347"/>
      <c r="C11" s="1347"/>
      <c r="D11" s="1347"/>
      <c r="E11" s="1347"/>
      <c r="F11" s="525"/>
      <c r="G11" s="1347" t="s">
        <v>563</v>
      </c>
      <c r="H11" s="1347"/>
      <c r="I11" s="1347"/>
      <c r="J11" s="1347"/>
      <c r="K11" s="1347"/>
    </row>
    <row r="12" spans="1:11" ht="15" customHeight="1">
      <c r="A12" s="1347" t="s">
        <v>553</v>
      </c>
      <c r="B12" s="1347"/>
      <c r="C12" s="1347"/>
      <c r="D12" s="1347"/>
      <c r="E12" s="1347"/>
      <c r="F12" s="525"/>
      <c r="G12" s="1347" t="s">
        <v>564</v>
      </c>
      <c r="H12" s="1347"/>
      <c r="I12" s="1347"/>
      <c r="J12" s="1347"/>
      <c r="K12" s="1347"/>
    </row>
    <row r="13" spans="1:11" ht="6" customHeight="1">
      <c r="A13" s="525"/>
      <c r="B13" s="525"/>
      <c r="C13" s="525"/>
      <c r="D13" s="525"/>
      <c r="E13" s="525"/>
      <c r="F13" s="525"/>
      <c r="G13" s="525"/>
      <c r="H13" s="525"/>
      <c r="I13" s="525"/>
      <c r="J13" s="525"/>
      <c r="K13" s="525"/>
    </row>
    <row r="14" spans="1:11" ht="15" customHeight="1">
      <c r="A14" s="1347" t="s">
        <v>555</v>
      </c>
      <c r="B14" s="1347"/>
      <c r="C14" s="1347"/>
      <c r="D14" s="1347"/>
      <c r="E14" s="1347"/>
      <c r="F14" s="525"/>
      <c r="G14" s="1347" t="s">
        <v>565</v>
      </c>
      <c r="H14" s="1347"/>
      <c r="I14" s="1347"/>
      <c r="J14" s="1347"/>
      <c r="K14" s="1347"/>
    </row>
    <row r="15" spans="1:11" ht="15" customHeight="1">
      <c r="A15" s="1347" t="s">
        <v>554</v>
      </c>
      <c r="B15" s="1347"/>
      <c r="C15" s="1347"/>
      <c r="D15" s="1347"/>
      <c r="E15" s="1347"/>
      <c r="F15" s="525"/>
      <c r="G15" s="1347" t="s">
        <v>566</v>
      </c>
      <c r="H15" s="1347"/>
      <c r="I15" s="1347"/>
      <c r="J15" s="1347"/>
      <c r="K15" s="1347"/>
    </row>
    <row r="16" spans="1:11" ht="6" customHeight="1">
      <c r="A16" s="525"/>
      <c r="B16" s="525"/>
      <c r="C16" s="525"/>
      <c r="D16" s="525"/>
      <c r="E16" s="525"/>
      <c r="F16" s="525"/>
      <c r="G16" s="525"/>
      <c r="H16" s="525"/>
      <c r="I16" s="525"/>
      <c r="J16" s="525"/>
      <c r="K16" s="525"/>
    </row>
    <row r="17" spans="1:11" ht="15" customHeight="1">
      <c r="A17" s="1347" t="s">
        <v>556</v>
      </c>
      <c r="B17" s="1347"/>
      <c r="C17" s="1347"/>
      <c r="D17" s="1347"/>
      <c r="E17" s="1347"/>
      <c r="F17" s="525"/>
      <c r="G17" s="1347" t="s">
        <v>567</v>
      </c>
      <c r="H17" s="1347"/>
      <c r="I17" s="1347"/>
      <c r="J17" s="1347"/>
      <c r="K17" s="1347"/>
    </row>
    <row r="18" spans="1:11" ht="15" customHeight="1">
      <c r="A18" s="1347" t="s">
        <v>557</v>
      </c>
      <c r="B18" s="1347"/>
      <c r="C18" s="1347"/>
      <c r="D18" s="1347"/>
      <c r="E18" s="1347"/>
      <c r="F18" s="525"/>
      <c r="G18" s="1347" t="s">
        <v>568</v>
      </c>
      <c r="H18" s="1347"/>
      <c r="I18" s="1347"/>
      <c r="J18" s="1347"/>
      <c r="K18" s="1347"/>
    </row>
    <row r="19" spans="1:11" ht="6" customHeight="1">
      <c r="A19" s="525"/>
      <c r="B19" s="525"/>
      <c r="C19" s="525"/>
      <c r="D19" s="525"/>
      <c r="E19" s="525"/>
      <c r="F19" s="525"/>
      <c r="G19" s="525"/>
      <c r="H19" s="525"/>
      <c r="I19" s="525"/>
      <c r="J19" s="525"/>
      <c r="K19" s="525"/>
    </row>
    <row r="20" spans="1:11" ht="15" customHeight="1">
      <c r="A20" s="1347" t="s">
        <v>558</v>
      </c>
      <c r="B20" s="1347"/>
      <c r="C20" s="1347"/>
      <c r="D20" s="1347"/>
      <c r="E20" s="1347"/>
      <c r="F20" s="525"/>
      <c r="G20" s="1347" t="s">
        <v>569</v>
      </c>
      <c r="H20" s="1347"/>
      <c r="I20" s="1347"/>
      <c r="J20" s="1347"/>
      <c r="K20" s="1347"/>
    </row>
    <row r="21" spans="1:11" ht="15" customHeight="1">
      <c r="A21" s="1347" t="s">
        <v>559</v>
      </c>
      <c r="B21" s="1347"/>
      <c r="C21" s="1347"/>
      <c r="D21" s="1347"/>
      <c r="E21" s="1347"/>
      <c r="F21" s="525"/>
      <c r="G21" s="1347" t="s">
        <v>570</v>
      </c>
      <c r="H21" s="1347"/>
      <c r="I21" s="1347"/>
      <c r="J21" s="1347"/>
      <c r="K21" s="1347"/>
    </row>
    <row r="22" spans="1:11" ht="6" customHeight="1">
      <c r="A22" s="525"/>
      <c r="B22" s="525"/>
      <c r="C22" s="525"/>
      <c r="D22" s="525"/>
      <c r="E22" s="525"/>
      <c r="F22" s="525"/>
      <c r="G22" s="525"/>
      <c r="H22" s="525"/>
      <c r="I22" s="525"/>
      <c r="J22" s="525"/>
      <c r="K22" s="525"/>
    </row>
    <row r="23" spans="1:11" ht="15" customHeight="1">
      <c r="A23" s="1347" t="s">
        <v>562</v>
      </c>
      <c r="B23" s="1347"/>
      <c r="C23" s="1347"/>
      <c r="D23" s="1347"/>
      <c r="E23" s="1347"/>
      <c r="F23" s="525"/>
      <c r="G23" s="1347" t="s">
        <v>571</v>
      </c>
      <c r="H23" s="1347"/>
      <c r="I23" s="1347"/>
      <c r="J23" s="1347"/>
      <c r="K23" s="1347"/>
    </row>
    <row r="24" spans="1:11" ht="15" customHeight="1">
      <c r="A24" s="1347" t="s">
        <v>560</v>
      </c>
      <c r="B24" s="1347"/>
      <c r="C24" s="1347"/>
      <c r="D24" s="1347"/>
      <c r="E24" s="1347"/>
      <c r="F24" s="525"/>
      <c r="G24" s="1347" t="s">
        <v>572</v>
      </c>
      <c r="H24" s="1347"/>
      <c r="I24" s="1347"/>
      <c r="J24" s="1347"/>
      <c r="K24" s="1347"/>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47" t="s">
        <v>573</v>
      </c>
      <c r="H26" s="1347"/>
      <c r="I26" s="1347"/>
      <c r="J26" s="1347"/>
      <c r="K26" s="1347"/>
    </row>
    <row r="27" spans="1:11" ht="15" customHeight="1">
      <c r="A27" s="525"/>
      <c r="B27" s="525"/>
      <c r="C27" s="525"/>
      <c r="D27" s="525"/>
      <c r="E27" s="525"/>
      <c r="F27" s="525"/>
      <c r="G27" s="1345" t="s">
        <v>703</v>
      </c>
      <c r="H27" s="1347"/>
      <c r="I27" s="1347"/>
      <c r="J27" s="1347"/>
      <c r="K27" s="1347"/>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47" t="s">
        <v>574</v>
      </c>
      <c r="H29" s="1347"/>
      <c r="I29" s="1347"/>
      <c r="J29" s="1347"/>
      <c r="K29" s="1347"/>
    </row>
    <row r="30" spans="1:11" ht="15" customHeight="1">
      <c r="A30" s="525"/>
      <c r="B30" s="525"/>
      <c r="C30" s="525"/>
      <c r="D30" s="525"/>
      <c r="E30" s="525"/>
      <c r="F30" s="525"/>
      <c r="G30" s="1345" t="s">
        <v>582</v>
      </c>
      <c r="H30" s="1347"/>
      <c r="I30" s="1347"/>
      <c r="J30" s="1347"/>
      <c r="K30" s="1347"/>
    </row>
    <row r="31" spans="1:11" ht="6" customHeight="1">
      <c r="A31" s="525"/>
      <c r="B31" s="525"/>
      <c r="C31" s="525"/>
      <c r="D31" s="525"/>
      <c r="E31" s="525"/>
      <c r="F31" s="525"/>
      <c r="G31" s="647"/>
      <c r="H31" s="527"/>
      <c r="I31" s="527"/>
      <c r="J31" s="527"/>
      <c r="K31" s="527"/>
    </row>
    <row r="32" spans="1:11" ht="15" customHeight="1">
      <c r="A32" s="525"/>
      <c r="B32" s="525"/>
      <c r="C32" s="525"/>
      <c r="D32" s="525"/>
      <c r="E32" s="525"/>
      <c r="F32" s="525"/>
      <c r="G32" s="647" t="s">
        <v>583</v>
      </c>
      <c r="H32" s="527"/>
      <c r="I32" s="527"/>
      <c r="J32" s="527"/>
      <c r="K32" s="527"/>
    </row>
    <row r="33" spans="1:11" ht="15" customHeight="1">
      <c r="A33" s="525"/>
      <c r="B33" s="525"/>
      <c r="C33" s="525"/>
      <c r="D33" s="525"/>
      <c r="E33" s="525"/>
      <c r="F33" s="525"/>
      <c r="G33" s="647" t="s">
        <v>652</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50" t="s">
        <v>634</v>
      </c>
      <c r="B35" s="1350"/>
      <c r="C35" s="1350"/>
      <c r="D35" s="1350"/>
      <c r="E35" s="1350"/>
      <c r="F35" s="528"/>
      <c r="G35" s="1350" t="s">
        <v>635</v>
      </c>
      <c r="H35" s="1350"/>
      <c r="I35" s="1350"/>
      <c r="J35" s="1350"/>
      <c r="K35" s="1350"/>
    </row>
    <row r="36" spans="1:11" ht="6" customHeight="1">
      <c r="A36" s="525"/>
      <c r="B36" s="525"/>
      <c r="C36" s="525"/>
      <c r="D36" s="525"/>
      <c r="E36" s="525"/>
      <c r="F36" s="525"/>
      <c r="G36" s="525"/>
      <c r="H36" s="525"/>
      <c r="I36" s="525"/>
      <c r="J36" s="525"/>
      <c r="K36" s="525"/>
    </row>
    <row r="37" spans="1:11" ht="15" customHeight="1">
      <c r="A37" s="1347" t="s">
        <v>636</v>
      </c>
      <c r="B37" s="1347"/>
      <c r="C37" s="1347"/>
      <c r="D37" s="1347"/>
      <c r="E37" s="1347"/>
      <c r="F37" s="525"/>
      <c r="G37" s="1347" t="s">
        <v>642</v>
      </c>
      <c r="H37" s="1347"/>
      <c r="I37" s="1347"/>
      <c r="J37" s="1347"/>
      <c r="K37" s="1347"/>
    </row>
    <row r="38" spans="1:11" ht="15" customHeight="1">
      <c r="A38" s="1347" t="s">
        <v>637</v>
      </c>
      <c r="B38" s="1347"/>
      <c r="C38" s="1347"/>
      <c r="D38" s="1347"/>
      <c r="E38" s="1347"/>
      <c r="F38" s="525"/>
      <c r="G38" s="1347" t="s">
        <v>643</v>
      </c>
      <c r="H38" s="1347"/>
      <c r="I38" s="1347"/>
      <c r="J38" s="1347"/>
      <c r="K38" s="1347"/>
    </row>
    <row r="39" spans="1:11" ht="15" customHeight="1">
      <c r="A39" s="525"/>
      <c r="B39" s="525"/>
      <c r="C39" s="525"/>
      <c r="D39" s="525"/>
      <c r="E39" s="525"/>
      <c r="F39" s="525"/>
      <c r="G39" s="529"/>
      <c r="H39" s="529"/>
      <c r="I39" s="529"/>
      <c r="J39" s="529"/>
      <c r="K39" s="529"/>
    </row>
    <row r="40" spans="1:11" ht="15" customHeight="1">
      <c r="A40" s="1347" t="s">
        <v>638</v>
      </c>
      <c r="B40" s="1347"/>
      <c r="C40" s="1347"/>
      <c r="D40" s="1347"/>
      <c r="E40" s="1347"/>
      <c r="F40" s="525"/>
      <c r="G40" s="1347" t="s">
        <v>644</v>
      </c>
      <c r="H40" s="1347"/>
      <c r="I40" s="1347"/>
      <c r="J40" s="1347"/>
      <c r="K40" s="1347"/>
    </row>
    <row r="41" spans="1:11" ht="15" customHeight="1">
      <c r="A41" s="1347" t="s">
        <v>639</v>
      </c>
      <c r="B41" s="1347"/>
      <c r="C41" s="1347"/>
      <c r="D41" s="1347"/>
      <c r="E41" s="1347"/>
      <c r="F41" s="525"/>
      <c r="G41" s="1347" t="s">
        <v>645</v>
      </c>
      <c r="H41" s="1347"/>
      <c r="I41" s="1347"/>
      <c r="J41" s="1347"/>
      <c r="K41" s="1347"/>
    </row>
    <row r="42" spans="1:11" ht="15" customHeight="1">
      <c r="A42" s="525"/>
      <c r="B42" s="525"/>
      <c r="C42" s="525"/>
      <c r="D42" s="525"/>
      <c r="E42" s="525"/>
      <c r="F42" s="525"/>
      <c r="G42" s="1347" t="s">
        <v>693</v>
      </c>
      <c r="H42" s="1347"/>
      <c r="I42" s="1347"/>
      <c r="J42" s="1347"/>
      <c r="K42" s="1347"/>
    </row>
    <row r="43" spans="1:11" ht="15" customHeight="1">
      <c r="A43" s="1347" t="s">
        <v>640</v>
      </c>
      <c r="B43" s="1347"/>
      <c r="C43" s="1347"/>
      <c r="D43" s="1347"/>
      <c r="E43" s="1347"/>
      <c r="F43" s="525"/>
      <c r="G43" s="1347" t="s">
        <v>694</v>
      </c>
      <c r="H43" s="1347"/>
      <c r="I43" s="1347"/>
      <c r="J43" s="1347"/>
      <c r="K43" s="1347"/>
    </row>
    <row r="44" spans="1:11" ht="15" customHeight="1">
      <c r="A44" s="1347" t="s">
        <v>641</v>
      </c>
      <c r="B44" s="1347"/>
      <c r="C44" s="1347"/>
      <c r="D44" s="1347"/>
      <c r="E44" s="1347"/>
      <c r="F44" s="525"/>
      <c r="G44" s="1347" t="s">
        <v>646</v>
      </c>
      <c r="H44" s="1347"/>
      <c r="I44" s="1347"/>
      <c r="J44" s="1347"/>
      <c r="K44" s="1347"/>
    </row>
    <row r="45" spans="1:11" ht="15" customHeight="1">
      <c r="A45" s="527"/>
      <c r="B45" s="527"/>
      <c r="C45" s="527"/>
      <c r="D45" s="527"/>
      <c r="E45" s="527"/>
      <c r="F45" s="525"/>
      <c r="G45" s="1347" t="s">
        <v>647</v>
      </c>
      <c r="H45" s="1347"/>
      <c r="I45" s="1347"/>
      <c r="J45" s="1347"/>
      <c r="K45" s="1347"/>
    </row>
    <row r="46" spans="1:11" ht="15" customHeight="1">
      <c r="A46" s="647" t="s">
        <v>676</v>
      </c>
      <c r="B46" s="527"/>
      <c r="C46" s="527"/>
      <c r="D46" s="527"/>
      <c r="E46" s="527"/>
      <c r="F46" s="525"/>
      <c r="G46" s="527"/>
      <c r="H46" s="527"/>
      <c r="I46" s="527"/>
      <c r="J46" s="527"/>
      <c r="K46" s="527"/>
    </row>
    <row r="47" spans="1:11" ht="15" customHeight="1">
      <c r="A47" s="648" t="s">
        <v>677</v>
      </c>
      <c r="B47" s="525"/>
      <c r="C47" s="525"/>
      <c r="D47" s="525"/>
      <c r="E47" s="525"/>
      <c r="F47" s="525"/>
      <c r="G47" s="649"/>
      <c r="H47" s="649"/>
      <c r="I47" s="649"/>
      <c r="J47" s="649"/>
      <c r="K47" s="649"/>
    </row>
    <row r="48" spans="1:11">
      <c r="A48" s="525"/>
      <c r="B48" s="525"/>
      <c r="C48" s="525"/>
      <c r="D48" s="525"/>
      <c r="E48" s="525"/>
      <c r="F48" s="525"/>
      <c r="G48" s="525"/>
      <c r="H48" s="525"/>
      <c r="I48" s="525"/>
      <c r="J48" s="525"/>
      <c r="K48" s="525"/>
    </row>
    <row r="49" spans="1:11">
      <c r="A49" s="1344" t="s">
        <v>580</v>
      </c>
      <c r="B49" s="1344"/>
      <c r="C49" s="1344"/>
      <c r="D49" s="1344"/>
      <c r="E49" s="1344"/>
      <c r="F49" s="1344"/>
      <c r="G49" s="1344"/>
      <c r="H49" s="1344"/>
      <c r="I49" s="1344"/>
      <c r="J49" s="1344"/>
      <c r="K49" s="1344"/>
    </row>
    <row r="50" spans="1:11">
      <c r="A50" s="1347" t="s">
        <v>327</v>
      </c>
      <c r="B50" s="1346"/>
      <c r="C50" s="1346"/>
      <c r="D50" s="1346"/>
      <c r="E50" s="1346"/>
      <c r="F50" s="1346"/>
      <c r="G50" s="1346"/>
      <c r="H50" s="1346"/>
      <c r="I50" s="1346"/>
      <c r="J50" s="1346"/>
      <c r="K50" s="1346"/>
    </row>
    <row r="51" spans="1:11">
      <c r="A51" s="1347" t="s">
        <v>579</v>
      </c>
      <c r="B51" s="1347"/>
      <c r="C51" s="1347"/>
      <c r="D51" s="1347"/>
      <c r="E51" s="1347"/>
      <c r="F51" s="1347"/>
      <c r="G51" s="1348" t="s">
        <v>683</v>
      </c>
      <c r="H51" s="1348"/>
      <c r="I51" s="529"/>
      <c r="J51" s="525"/>
      <c r="K51" s="525"/>
    </row>
    <row r="52" spans="1:11">
      <c r="A52" s="1349" t="s">
        <v>649</v>
      </c>
      <c r="B52" s="1349"/>
      <c r="C52" s="1349"/>
      <c r="D52" s="1349"/>
      <c r="E52" s="1349"/>
      <c r="F52" s="1349"/>
      <c r="G52" s="1348" t="s">
        <v>684</v>
      </c>
      <c r="H52" s="1348"/>
      <c r="I52" s="530"/>
      <c r="J52" s="525"/>
      <c r="K52" s="525"/>
    </row>
    <row r="53" spans="1:11">
      <c r="A53" s="1345" t="s">
        <v>648</v>
      </c>
      <c r="B53" s="1346"/>
      <c r="C53" s="1346"/>
      <c r="D53" s="1346"/>
      <c r="E53" s="1346"/>
      <c r="F53" s="1346"/>
      <c r="G53" s="1346"/>
      <c r="H53" s="1346"/>
      <c r="I53" s="1346"/>
      <c r="J53" s="1346"/>
      <c r="K53" s="1346"/>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63" t="s">
        <v>581</v>
      </c>
      <c r="B2" s="1363"/>
      <c r="C2" s="1363"/>
      <c r="D2" s="1363"/>
      <c r="E2" s="1363"/>
      <c r="F2" s="1363"/>
      <c r="G2" s="1363"/>
      <c r="H2" s="1363"/>
      <c r="I2" s="1363"/>
      <c r="J2" s="1363"/>
    </row>
    <row r="3" spans="1:10" ht="75" customHeight="1">
      <c r="B3" s="1365" t="s">
        <v>591</v>
      </c>
      <c r="C3" s="1365"/>
      <c r="D3" s="1365"/>
      <c r="E3" s="1365"/>
      <c r="F3" s="1365"/>
      <c r="G3" s="1365"/>
      <c r="H3" s="1365"/>
      <c r="I3" s="1365"/>
      <c r="J3" s="1365"/>
    </row>
    <row r="4" spans="1:10" ht="15" customHeight="1">
      <c r="B4" s="1354" t="s">
        <v>592</v>
      </c>
      <c r="C4" s="1354"/>
      <c r="D4" s="1354"/>
      <c r="E4" s="1354"/>
      <c r="F4" s="1354"/>
      <c r="G4" s="1354"/>
      <c r="H4" s="1354"/>
      <c r="I4" s="1354"/>
      <c r="J4" s="1354"/>
    </row>
    <row r="5" spans="1:10" ht="30" customHeight="1">
      <c r="B5" s="336"/>
      <c r="C5" s="336"/>
      <c r="D5" s="336"/>
      <c r="E5" s="336"/>
      <c r="F5" s="336"/>
      <c r="G5" s="336"/>
      <c r="H5" s="336"/>
      <c r="I5" s="336"/>
      <c r="J5" s="336"/>
    </row>
    <row r="6" spans="1:10" ht="30" customHeight="1">
      <c r="A6" s="1363" t="s">
        <v>593</v>
      </c>
      <c r="B6" s="1363"/>
      <c r="C6" s="1363"/>
      <c r="D6" s="1363"/>
      <c r="E6" s="1363"/>
      <c r="F6" s="1363"/>
      <c r="G6" s="1363"/>
      <c r="H6" s="1363"/>
      <c r="I6" s="1363"/>
      <c r="J6" s="1363"/>
    </row>
    <row r="7" spans="1:10" ht="15" customHeight="1">
      <c r="B7" s="1364" t="s">
        <v>712</v>
      </c>
      <c r="C7" s="1354"/>
      <c r="D7" s="1354"/>
      <c r="E7" s="1354"/>
      <c r="F7" s="1354"/>
      <c r="G7" s="1354"/>
      <c r="H7" s="1354"/>
      <c r="I7" s="1354"/>
      <c r="J7" s="1354"/>
    </row>
    <row r="8" spans="1:10" ht="15" customHeight="1">
      <c r="B8" s="1354" t="s">
        <v>594</v>
      </c>
      <c r="C8" s="1354"/>
      <c r="D8" s="1354"/>
      <c r="E8" s="1354"/>
      <c r="F8" s="1354"/>
      <c r="G8" s="1354"/>
      <c r="H8" s="1354"/>
      <c r="I8" s="1354"/>
      <c r="J8" s="1354"/>
    </row>
    <row r="9" spans="1:10" ht="15" customHeight="1"/>
    <row r="10" spans="1:10" ht="15" customHeight="1">
      <c r="B10" s="1366" t="s">
        <v>708</v>
      </c>
      <c r="C10" s="1358"/>
      <c r="D10" s="1358"/>
      <c r="E10" s="1358"/>
      <c r="F10" s="1358"/>
      <c r="G10" s="1358"/>
      <c r="H10" s="1358"/>
      <c r="I10" s="1358"/>
      <c r="J10" s="1358"/>
    </row>
    <row r="11" spans="1:10" ht="15" customHeight="1">
      <c r="B11" s="337" t="s">
        <v>335</v>
      </c>
      <c r="C11" s="1364" t="s">
        <v>687</v>
      </c>
      <c r="D11" s="1354"/>
      <c r="E11" s="1354"/>
      <c r="F11" s="1354"/>
      <c r="G11" s="1354"/>
      <c r="H11" s="1354"/>
      <c r="I11" s="1354"/>
      <c r="J11" s="1354"/>
    </row>
    <row r="12" spans="1:10" ht="15" customHeight="1">
      <c r="B12" s="337" t="s">
        <v>404</v>
      </c>
      <c r="C12" s="1364" t="s">
        <v>686</v>
      </c>
      <c r="D12" s="1354"/>
      <c r="E12" s="1354"/>
      <c r="F12" s="1354"/>
      <c r="G12" s="1354"/>
      <c r="H12" s="1354"/>
      <c r="I12" s="1354"/>
      <c r="J12" s="1354"/>
    </row>
    <row r="13" spans="1:10" ht="15" customHeight="1">
      <c r="B13" s="635" t="s">
        <v>407</v>
      </c>
      <c r="C13" s="1364" t="s">
        <v>704</v>
      </c>
      <c r="D13" s="1354"/>
      <c r="E13" s="1354"/>
      <c r="F13" s="1354"/>
      <c r="G13" s="1354"/>
      <c r="H13" s="1354"/>
      <c r="I13" s="1354"/>
      <c r="J13" s="1354"/>
    </row>
    <row r="14" spans="1:10" ht="15" customHeight="1">
      <c r="B14" s="635" t="s">
        <v>409</v>
      </c>
      <c r="C14" s="617" t="s">
        <v>650</v>
      </c>
      <c r="D14" s="339"/>
      <c r="E14" s="339"/>
      <c r="F14" s="339"/>
      <c r="G14" s="339"/>
      <c r="H14" s="339"/>
      <c r="I14" s="339"/>
      <c r="J14" s="339"/>
    </row>
    <row r="15" spans="1:10" ht="15" customHeight="1">
      <c r="B15" s="635" t="s">
        <v>411</v>
      </c>
      <c r="C15" s="1364" t="s">
        <v>688</v>
      </c>
      <c r="D15" s="1354"/>
      <c r="E15" s="1354"/>
      <c r="F15" s="1354"/>
      <c r="G15" s="1354"/>
      <c r="H15" s="1354"/>
      <c r="I15" s="1354"/>
      <c r="J15" s="1354"/>
    </row>
    <row r="16" spans="1:10" ht="15" customHeight="1"/>
    <row r="17" spans="2:10" ht="15" customHeight="1">
      <c r="B17" s="1358" t="s">
        <v>595</v>
      </c>
      <c r="C17" s="1358"/>
      <c r="D17" s="1358"/>
      <c r="E17" s="1358"/>
      <c r="F17" s="1358"/>
      <c r="G17" s="1358"/>
      <c r="H17" s="1358"/>
      <c r="I17" s="1358"/>
      <c r="J17" s="1358"/>
    </row>
    <row r="18" spans="2:10" ht="15" customHeight="1">
      <c r="B18" s="337" t="s">
        <v>335</v>
      </c>
      <c r="C18" s="1354" t="s">
        <v>596</v>
      </c>
      <c r="D18" s="1354"/>
      <c r="E18" s="1354"/>
      <c r="F18" s="1354"/>
      <c r="G18" s="1354"/>
      <c r="H18" s="1354"/>
      <c r="I18" s="1354"/>
      <c r="J18" s="1354"/>
    </row>
    <row r="19" spans="2:10" ht="15" customHeight="1">
      <c r="B19" s="337" t="s">
        <v>404</v>
      </c>
      <c r="C19" s="1354" t="s">
        <v>602</v>
      </c>
      <c r="D19" s="1354"/>
      <c r="E19" s="1354"/>
      <c r="F19" s="1354"/>
      <c r="G19" s="1354"/>
      <c r="H19" s="1354"/>
      <c r="I19" s="1354"/>
      <c r="J19" s="1354"/>
    </row>
    <row r="20" spans="2:10" ht="15" customHeight="1">
      <c r="B20" s="337" t="s">
        <v>407</v>
      </c>
      <c r="C20" s="1354" t="s">
        <v>597</v>
      </c>
      <c r="D20" s="1354"/>
      <c r="E20" s="1354"/>
      <c r="F20" s="1354"/>
      <c r="G20" s="1354"/>
      <c r="H20" s="1354"/>
      <c r="I20" s="1354"/>
      <c r="J20" s="1354"/>
    </row>
    <row r="21" spans="2:10" ht="15" customHeight="1">
      <c r="B21" s="337" t="s">
        <v>409</v>
      </c>
      <c r="C21" s="1354" t="s">
        <v>598</v>
      </c>
      <c r="D21" s="1354"/>
      <c r="E21" s="1354"/>
      <c r="F21" s="1354"/>
      <c r="G21" s="1354"/>
      <c r="H21" s="1354"/>
      <c r="I21" s="1354"/>
      <c r="J21" s="1354"/>
    </row>
    <row r="22" spans="2:10" ht="15" customHeight="1">
      <c r="B22" s="337" t="s">
        <v>411</v>
      </c>
      <c r="C22" s="1354" t="s">
        <v>599</v>
      </c>
      <c r="D22" s="1354"/>
      <c r="E22" s="1354"/>
      <c r="F22" s="1354"/>
      <c r="G22" s="1354"/>
      <c r="H22" s="1354"/>
      <c r="I22" s="1354"/>
      <c r="J22" s="1354"/>
    </row>
    <row r="23" spans="2:10" ht="15" customHeight="1">
      <c r="B23" s="337" t="s">
        <v>589</v>
      </c>
      <c r="C23" s="1354" t="s">
        <v>600</v>
      </c>
      <c r="D23" s="1354"/>
      <c r="E23" s="1354"/>
      <c r="F23" s="1354"/>
      <c r="G23" s="1354"/>
      <c r="H23" s="1354"/>
      <c r="I23" s="1354"/>
      <c r="J23" s="1354"/>
    </row>
    <row r="24" spans="2:10" ht="15" customHeight="1">
      <c r="B24" s="337" t="s">
        <v>605</v>
      </c>
      <c r="C24" s="1354" t="s">
        <v>601</v>
      </c>
      <c r="D24" s="1354"/>
      <c r="E24" s="1354"/>
      <c r="F24" s="1354"/>
      <c r="G24" s="1354"/>
      <c r="H24" s="1354"/>
      <c r="I24" s="1354"/>
      <c r="J24" s="1354"/>
    </row>
    <row r="25" spans="2:10" ht="15" customHeight="1">
      <c r="B25" s="337" t="s">
        <v>606</v>
      </c>
      <c r="C25" s="1354" t="s">
        <v>603</v>
      </c>
      <c r="D25" s="1354"/>
      <c r="E25" s="1354"/>
      <c r="F25" s="1354"/>
      <c r="G25" s="1354"/>
      <c r="H25" s="1354"/>
      <c r="I25" s="1354"/>
      <c r="J25" s="1354"/>
    </row>
    <row r="26" spans="2:10" ht="30" customHeight="1">
      <c r="B26" s="338" t="s">
        <v>607</v>
      </c>
      <c r="C26" s="1365" t="s">
        <v>604</v>
      </c>
      <c r="D26" s="1365"/>
      <c r="E26" s="1365"/>
      <c r="F26" s="1365"/>
      <c r="G26" s="1365"/>
      <c r="H26" s="1365"/>
      <c r="I26" s="1365"/>
      <c r="J26" s="1365"/>
    </row>
    <row r="27" spans="2:10" ht="15" customHeight="1">
      <c r="C27" s="336"/>
      <c r="D27" s="336"/>
      <c r="E27" s="336"/>
      <c r="F27" s="336"/>
      <c r="G27" s="336"/>
      <c r="H27" s="336"/>
      <c r="I27" s="336"/>
      <c r="J27" s="336"/>
    </row>
    <row r="28" spans="2:10" ht="15" customHeight="1">
      <c r="B28" s="1358" t="s">
        <v>608</v>
      </c>
      <c r="C28" s="1358"/>
      <c r="D28" s="1358"/>
      <c r="E28" s="1358"/>
      <c r="F28" s="1358"/>
      <c r="G28" s="1358"/>
      <c r="H28" s="1358"/>
      <c r="I28" s="1358"/>
      <c r="J28" s="1358"/>
    </row>
    <row r="29" spans="2:10" ht="15" customHeight="1">
      <c r="B29" s="337" t="s">
        <v>335</v>
      </c>
      <c r="C29" s="1354" t="s">
        <v>609</v>
      </c>
      <c r="D29" s="1354"/>
      <c r="E29" s="1354"/>
      <c r="F29" s="1354"/>
      <c r="G29" s="1354"/>
      <c r="H29" s="1354"/>
      <c r="I29" s="1354"/>
      <c r="J29" s="1354"/>
    </row>
    <row r="30" spans="2:10" ht="15" customHeight="1">
      <c r="B30" s="337" t="s">
        <v>404</v>
      </c>
      <c r="C30" s="1364" t="s">
        <v>633</v>
      </c>
      <c r="D30" s="1354"/>
      <c r="E30" s="1354"/>
      <c r="F30" s="1354"/>
      <c r="G30" s="1354"/>
      <c r="H30" s="1354"/>
      <c r="I30" s="1354"/>
      <c r="J30" s="1354"/>
    </row>
    <row r="31" spans="2:10" ht="30" customHeight="1">
      <c r="B31" s="338" t="s">
        <v>407</v>
      </c>
      <c r="C31" s="1365" t="s">
        <v>661</v>
      </c>
      <c r="D31" s="1365"/>
      <c r="E31" s="1365"/>
      <c r="F31" s="1365"/>
      <c r="G31" s="1365"/>
      <c r="H31" s="1365"/>
      <c r="I31" s="1365"/>
      <c r="J31" s="1365"/>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63" t="s">
        <v>627</v>
      </c>
      <c r="B41" s="1363"/>
      <c r="C41" s="1363"/>
      <c r="D41" s="1363"/>
      <c r="E41" s="1363"/>
      <c r="F41" s="1363"/>
      <c r="G41" s="1363"/>
      <c r="H41" s="1363"/>
      <c r="I41" s="1363"/>
      <c r="J41" s="1363"/>
    </row>
    <row r="42" spans="1:10" ht="15" customHeight="1"/>
    <row r="43" spans="1:10" ht="15" customHeight="1">
      <c r="B43" s="1357" t="s">
        <v>628</v>
      </c>
      <c r="C43" s="1358"/>
      <c r="D43" s="1358"/>
      <c r="E43" s="1358"/>
      <c r="F43" s="1358"/>
      <c r="G43" s="1358"/>
      <c r="H43" s="1358"/>
      <c r="I43" s="1358"/>
      <c r="J43" s="1358"/>
    </row>
    <row r="44" spans="1:10" ht="15" customHeight="1">
      <c r="B44" s="1354" t="s">
        <v>629</v>
      </c>
      <c r="C44" s="1354"/>
      <c r="D44" s="1354"/>
      <c r="E44" s="1354"/>
      <c r="F44" s="1354"/>
      <c r="G44" s="1354"/>
      <c r="H44" s="1354"/>
      <c r="I44" s="1354"/>
      <c r="J44" s="1354"/>
    </row>
    <row r="45" spans="1:10" ht="15" customHeight="1">
      <c r="B45" s="1354" t="s">
        <v>630</v>
      </c>
      <c r="C45" s="1354"/>
      <c r="D45" s="1354"/>
      <c r="E45" s="1354"/>
      <c r="F45" s="1354"/>
      <c r="G45" s="1354"/>
      <c r="H45" s="1354"/>
      <c r="I45" s="1354"/>
      <c r="J45" s="1354"/>
    </row>
    <row r="46" spans="1:10" ht="15" customHeight="1"/>
    <row r="47" spans="1:10" ht="15" customHeight="1">
      <c r="B47" s="1357" t="s">
        <v>663</v>
      </c>
      <c r="C47" s="1358"/>
      <c r="D47" s="1358"/>
      <c r="E47" s="1358"/>
      <c r="F47" s="1358"/>
      <c r="G47" s="1358"/>
      <c r="H47" s="1358"/>
      <c r="I47" s="1358"/>
      <c r="J47" s="1358"/>
    </row>
    <row r="48" spans="1:10" ht="15" customHeight="1">
      <c r="B48" s="1364" t="s">
        <v>655</v>
      </c>
      <c r="C48" s="1354"/>
      <c r="D48" s="1354"/>
      <c r="E48" s="1354"/>
      <c r="F48" s="1354"/>
      <c r="G48" s="1354"/>
      <c r="H48" s="1354"/>
      <c r="I48" s="1354"/>
      <c r="J48" s="1354"/>
    </row>
    <row r="49" spans="2:10" ht="15" customHeight="1">
      <c r="B49" s="1354" t="s">
        <v>631</v>
      </c>
      <c r="C49" s="1354"/>
      <c r="D49" s="1354"/>
      <c r="E49" s="1354"/>
      <c r="F49" s="1354"/>
      <c r="G49" s="1354"/>
      <c r="H49" s="1354"/>
      <c r="I49" s="1354"/>
      <c r="J49" s="1354"/>
    </row>
    <row r="50" spans="2:10" ht="15" customHeight="1"/>
    <row r="51" spans="2:10" ht="15" customHeight="1">
      <c r="B51" s="1359" t="s">
        <v>671</v>
      </c>
      <c r="C51" s="1359"/>
      <c r="D51" s="1359"/>
      <c r="E51" s="1360">
        <v>40354</v>
      </c>
      <c r="F51" s="1360"/>
      <c r="G51" s="1354"/>
      <c r="H51" s="1354"/>
      <c r="I51" s="1354"/>
      <c r="J51" s="1354"/>
    </row>
    <row r="52" spans="2:10" ht="15" customHeight="1">
      <c r="B52" s="1354" t="s">
        <v>662</v>
      </c>
      <c r="C52" s="1354"/>
      <c r="D52" s="1354"/>
      <c r="E52" s="1354"/>
      <c r="F52" s="1354"/>
      <c r="G52" s="1354"/>
      <c r="H52" s="1354"/>
      <c r="I52" s="1354"/>
      <c r="J52" s="1354"/>
    </row>
    <row r="53" spans="2:10" ht="15" customHeight="1">
      <c r="B53" s="1354" t="s">
        <v>625</v>
      </c>
      <c r="C53" s="1354"/>
      <c r="D53" s="1354"/>
      <c r="E53" s="1354"/>
      <c r="F53" s="1354"/>
      <c r="G53" s="1354"/>
      <c r="H53" s="1354"/>
      <c r="I53" s="1354"/>
      <c r="J53" s="1354"/>
    </row>
    <row r="54" spans="2:10" ht="15" customHeight="1"/>
    <row r="55" spans="2:10" ht="15" customHeight="1">
      <c r="B55" s="1359" t="s">
        <v>672</v>
      </c>
      <c r="C55" s="1359"/>
      <c r="D55" s="1359"/>
      <c r="E55" s="1360">
        <v>40268</v>
      </c>
      <c r="F55" s="1360"/>
      <c r="G55" s="1354"/>
      <c r="H55" s="1354"/>
      <c r="I55" s="1354"/>
      <c r="J55" s="1354"/>
    </row>
    <row r="56" spans="2:10" ht="15" customHeight="1">
      <c r="B56" s="1359" t="s">
        <v>669</v>
      </c>
      <c r="C56" s="1359"/>
      <c r="D56" s="1359"/>
      <c r="E56" s="1360">
        <v>40256</v>
      </c>
      <c r="F56" s="1360"/>
      <c r="G56" s="1354" t="s">
        <v>626</v>
      </c>
      <c r="H56" s="1354"/>
      <c r="I56" s="1354"/>
      <c r="J56" s="1354"/>
    </row>
    <row r="57" spans="2:10" ht="15" customHeight="1">
      <c r="B57" s="1359" t="s">
        <v>673</v>
      </c>
      <c r="C57" s="1359"/>
      <c r="D57" s="1359"/>
      <c r="E57" s="1360">
        <v>40218</v>
      </c>
      <c r="F57" s="1360"/>
      <c r="G57" s="1354" t="s">
        <v>680</v>
      </c>
      <c r="H57" s="1354"/>
      <c r="I57" s="1354"/>
      <c r="J57" s="1354"/>
    </row>
    <row r="58" spans="2:10" ht="15" customHeight="1">
      <c r="B58" s="1359" t="s">
        <v>667</v>
      </c>
      <c r="C58" s="1359"/>
      <c r="D58" s="1359"/>
      <c r="E58" s="1360">
        <v>40107</v>
      </c>
      <c r="F58" s="1360"/>
      <c r="G58" s="1354"/>
      <c r="H58" s="1354"/>
      <c r="I58" s="1354"/>
      <c r="J58" s="1354"/>
    </row>
    <row r="59" spans="2:10" ht="15" customHeight="1">
      <c r="B59" s="1359" t="s">
        <v>612</v>
      </c>
      <c r="C59" s="1359"/>
      <c r="D59" s="1359"/>
      <c r="E59" s="1360">
        <v>40092</v>
      </c>
      <c r="F59" s="1360"/>
      <c r="G59" s="1354" t="s">
        <v>618</v>
      </c>
      <c r="H59" s="1354"/>
      <c r="I59" s="1354"/>
      <c r="J59" s="1354"/>
    </row>
    <row r="60" spans="2:10" ht="15" customHeight="1">
      <c r="B60" s="1354" t="s">
        <v>662</v>
      </c>
      <c r="C60" s="1354"/>
      <c r="D60" s="1354"/>
      <c r="E60" s="1354"/>
      <c r="F60" s="1354"/>
      <c r="G60" s="1354"/>
      <c r="H60" s="1354"/>
      <c r="I60" s="1354"/>
      <c r="J60" s="1354"/>
    </row>
    <row r="61" spans="2:10" ht="15" customHeight="1">
      <c r="B61" s="340"/>
      <c r="C61" s="340"/>
      <c r="D61" s="340"/>
      <c r="E61" s="341"/>
      <c r="F61" s="341"/>
      <c r="G61" s="339"/>
      <c r="H61" s="339"/>
      <c r="I61" s="339"/>
      <c r="J61" s="339"/>
    </row>
    <row r="62" spans="2:10" ht="15" customHeight="1">
      <c r="B62" s="1359" t="s">
        <v>668</v>
      </c>
      <c r="C62" s="1359"/>
      <c r="D62" s="1359"/>
      <c r="E62" s="1360"/>
      <c r="F62" s="1360"/>
      <c r="G62" s="1354"/>
      <c r="H62" s="1354"/>
      <c r="I62" s="1354"/>
      <c r="J62" s="1354"/>
    </row>
    <row r="63" spans="2:10" ht="15" customHeight="1">
      <c r="B63" s="1354" t="s">
        <v>613</v>
      </c>
      <c r="C63" s="1354"/>
      <c r="D63" s="1354"/>
      <c r="E63" s="1354"/>
      <c r="F63" s="1354"/>
      <c r="G63" s="1354"/>
      <c r="H63" s="1354"/>
      <c r="I63" s="1354"/>
      <c r="J63" s="1354"/>
    </row>
    <row r="64" spans="2:10" ht="45" customHeight="1">
      <c r="B64" s="1355" t="s">
        <v>689</v>
      </c>
      <c r="C64" s="1356"/>
      <c r="D64" s="1356"/>
      <c r="E64" s="1356"/>
      <c r="F64" s="1356"/>
      <c r="G64" s="1356"/>
      <c r="H64" s="1356"/>
      <c r="I64" s="1356"/>
      <c r="J64" s="1356"/>
    </row>
    <row r="65" spans="2:10" ht="15" customHeight="1"/>
    <row r="66" spans="2:10" ht="15" customHeight="1">
      <c r="B66" s="1359" t="s">
        <v>670</v>
      </c>
      <c r="C66" s="1359"/>
      <c r="D66" s="1359"/>
      <c r="E66" s="1360"/>
      <c r="F66" s="1360"/>
      <c r="G66" s="1354"/>
      <c r="H66" s="1354"/>
      <c r="I66" s="1354"/>
      <c r="J66" s="1354"/>
    </row>
    <row r="67" spans="2:10" ht="15" customHeight="1">
      <c r="B67" s="1359" t="s">
        <v>615</v>
      </c>
      <c r="C67" s="1359"/>
      <c r="D67" s="1359"/>
      <c r="E67" s="1360">
        <v>40034</v>
      </c>
      <c r="F67" s="1360"/>
      <c r="G67" s="1354"/>
      <c r="H67" s="1354"/>
      <c r="I67" s="1354"/>
      <c r="J67" s="1354"/>
    </row>
    <row r="68" spans="2:10" ht="15" customHeight="1">
      <c r="B68" s="1354" t="s">
        <v>614</v>
      </c>
      <c r="C68" s="1354"/>
      <c r="D68" s="1354"/>
      <c r="E68" s="1354"/>
      <c r="F68" s="1354"/>
      <c r="G68" s="1354"/>
      <c r="H68" s="1354"/>
      <c r="I68" s="1354"/>
      <c r="J68" s="1354"/>
    </row>
    <row r="69" spans="2:10" ht="30" customHeight="1">
      <c r="B69" s="1361" t="s">
        <v>632</v>
      </c>
      <c r="C69" s="1362"/>
      <c r="D69" s="1362"/>
      <c r="E69" s="1362"/>
      <c r="F69" s="1362"/>
      <c r="G69" s="1362"/>
      <c r="H69" s="1362"/>
      <c r="I69" s="1362"/>
      <c r="J69" s="1362"/>
    </row>
    <row r="70" spans="2:10" ht="15" customHeight="1"/>
    <row r="71" spans="2:10" ht="15" customHeight="1">
      <c r="B71" s="1359" t="s">
        <v>617</v>
      </c>
      <c r="C71" s="1359"/>
      <c r="D71" s="1359"/>
      <c r="E71" s="1360">
        <v>39898</v>
      </c>
      <c r="F71" s="1360"/>
      <c r="G71" s="1354"/>
      <c r="H71" s="1354"/>
      <c r="I71" s="1354"/>
      <c r="J71" s="1354"/>
    </row>
    <row r="72" spans="2:10" ht="15" customHeight="1">
      <c r="B72" s="1354" t="s">
        <v>674</v>
      </c>
      <c r="C72" s="1354"/>
      <c r="D72" s="1354"/>
      <c r="E72" s="1354"/>
      <c r="F72" s="1354"/>
      <c r="G72" s="1354"/>
      <c r="H72" s="1354"/>
      <c r="I72" s="1354"/>
      <c r="J72" s="1354"/>
    </row>
    <row r="73" spans="2:10" ht="60" customHeight="1">
      <c r="B73" s="1356" t="s">
        <v>624</v>
      </c>
      <c r="C73" s="1356"/>
      <c r="D73" s="1356"/>
      <c r="E73" s="1356"/>
      <c r="F73" s="1356"/>
      <c r="G73" s="1356"/>
      <c r="H73" s="1356"/>
      <c r="I73" s="1356"/>
      <c r="J73" s="1356"/>
    </row>
    <row r="74" spans="2:10" ht="15" customHeight="1"/>
    <row r="75" spans="2:10" ht="15" customHeight="1">
      <c r="B75" s="1359" t="s">
        <v>675</v>
      </c>
      <c r="C75" s="1359"/>
      <c r="D75" s="1359"/>
      <c r="E75" s="1360">
        <v>39720</v>
      </c>
      <c r="F75" s="1360"/>
      <c r="G75" s="1354"/>
      <c r="H75" s="1354"/>
      <c r="I75" s="1354"/>
      <c r="J75" s="1354"/>
    </row>
    <row r="76" spans="2:10" ht="15" customHeight="1">
      <c r="B76" s="1354" t="s">
        <v>674</v>
      </c>
      <c r="C76" s="1354"/>
      <c r="D76" s="1354"/>
      <c r="E76" s="1354"/>
      <c r="F76" s="1354"/>
      <c r="G76" s="1354"/>
      <c r="H76" s="1354"/>
      <c r="I76" s="1354"/>
      <c r="J76" s="1354"/>
    </row>
    <row r="77" spans="2:10" ht="15" customHeight="1">
      <c r="B77" s="1354" t="s">
        <v>619</v>
      </c>
      <c r="C77" s="1354"/>
      <c r="D77" s="1354"/>
      <c r="E77" s="1354"/>
      <c r="F77" s="1354"/>
      <c r="G77" s="1354"/>
      <c r="H77" s="1354"/>
      <c r="I77" s="1354"/>
      <c r="J77" s="1354"/>
    </row>
    <row r="78" spans="2:10" ht="15" customHeight="1"/>
    <row r="79" spans="2:10" ht="15" customHeight="1">
      <c r="B79" s="1359" t="s">
        <v>664</v>
      </c>
      <c r="C79" s="1359"/>
      <c r="D79" s="1359"/>
      <c r="E79" s="1360">
        <v>39692</v>
      </c>
      <c r="F79" s="1360"/>
      <c r="G79" s="1354"/>
      <c r="H79" s="1354"/>
      <c r="I79" s="1354"/>
      <c r="J79" s="1354"/>
    </row>
    <row r="80" spans="2:10" ht="15" customHeight="1">
      <c r="B80" s="1354" t="s">
        <v>665</v>
      </c>
      <c r="C80" s="1354"/>
      <c r="D80" s="1354"/>
      <c r="E80" s="1354"/>
      <c r="F80" s="1354"/>
      <c r="G80" s="1354"/>
      <c r="H80" s="1354"/>
      <c r="I80" s="1354"/>
      <c r="J80" s="1354"/>
    </row>
    <row r="81" spans="2:10" ht="15" customHeight="1">
      <c r="B81" s="1354" t="s">
        <v>623</v>
      </c>
      <c r="C81" s="1354"/>
      <c r="D81" s="1354"/>
      <c r="E81" s="1354"/>
      <c r="F81" s="1354"/>
      <c r="G81" s="1354"/>
      <c r="H81" s="1354"/>
      <c r="I81" s="1354"/>
      <c r="J81" s="1354"/>
    </row>
    <row r="82" spans="2:10" ht="15" customHeight="1"/>
    <row r="83" spans="2:10" ht="15" customHeight="1">
      <c r="B83" s="1359" t="s">
        <v>620</v>
      </c>
      <c r="C83" s="1359"/>
      <c r="D83" s="1359"/>
      <c r="E83" s="1360">
        <v>39118</v>
      </c>
      <c r="F83" s="1360"/>
      <c r="G83" s="1354"/>
      <c r="H83" s="1354"/>
      <c r="I83" s="1354"/>
      <c r="J83" s="1354"/>
    </row>
    <row r="84" spans="2:10" ht="15" customHeight="1">
      <c r="B84" s="1354" t="s">
        <v>621</v>
      </c>
      <c r="C84" s="1354"/>
      <c r="D84" s="1354"/>
      <c r="E84" s="1354"/>
      <c r="F84" s="1354"/>
      <c r="G84" s="1354"/>
      <c r="H84" s="1354"/>
      <c r="I84" s="1354"/>
      <c r="J84" s="1354"/>
    </row>
    <row r="85" spans="2:10" ht="15" customHeight="1">
      <c r="B85" s="1354" t="s">
        <v>622</v>
      </c>
      <c r="C85" s="1354"/>
      <c r="D85" s="1354"/>
      <c r="E85" s="1354"/>
      <c r="F85" s="1354"/>
      <c r="G85" s="1354"/>
      <c r="H85" s="1354"/>
      <c r="I85" s="1354"/>
      <c r="J85" s="1354"/>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2013-04-13T16:17:39Z</cp:lastPrinted>
  <dcterms:created xsi:type="dcterms:W3CDTF">2013-04-11T01:31:14Z</dcterms:created>
  <dcterms:modified xsi:type="dcterms:W3CDTF">2013-04-27T00:10:17Z</dcterms:modified>
</cp:coreProperties>
</file>